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D:\POTRO\Documentos\FOTOVOLTAICO\LA CEIBA\EIA LA CEIBA\CORRECCIONES 13_03_26\CAPITULO 4. CICLO DE VIDA\"/>
    </mc:Choice>
  </mc:AlternateContent>
  <xr:revisionPtr revIDLastSave="0" documentId="11_C65F97AB5AF5E69DB73B933E70D6CE53B4C6B66C" xr6:coauthVersionLast="47" xr6:coauthVersionMax="47" xr10:uidLastSave="{00000000-0000-0000-0000-000000000000}"/>
  <bookViews>
    <workbookView xWindow="0" yWindow="0" windowWidth="20490" windowHeight="7155" firstSheet="3" activeTab="3" xr2:uid="{00000000-000D-0000-FFFF-FFFF00000000}"/>
  </bookViews>
  <sheets>
    <sheet name="1. Datos del proyecto " sheetId="6" r:id="rId1"/>
    <sheet name="2. Cálculo de Cantidades " sheetId="10" r:id="rId2"/>
    <sheet name="3. Inventario" sheetId="7" r:id="rId3"/>
    <sheet name="4. Impacto total" sheetId="8" r:id="rId4"/>
    <sheet name="5. Simulación en Open LCA" sheetId="11" r:id="rId5"/>
    <sheet name="6. Upstream tree_Open LCA" sheetId="13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7" l="1"/>
  <c r="E16" i="7"/>
  <c r="J4" i="10"/>
  <c r="J3" i="10"/>
  <c r="J7" i="10" l="1"/>
  <c r="E6" i="7" s="1"/>
  <c r="G6" i="7" s="1"/>
  <c r="E5" i="7"/>
  <c r="E4" i="7"/>
  <c r="G4" i="7" s="1"/>
  <c r="E20" i="7"/>
  <c r="G20" i="7" s="1"/>
  <c r="E19" i="7"/>
  <c r="G19" i="7" s="1"/>
  <c r="E18" i="7"/>
  <c r="G18" i="7" s="1"/>
  <c r="H42" i="10"/>
  <c r="H41" i="10"/>
  <c r="H40" i="10"/>
  <c r="H39" i="10"/>
  <c r="H35" i="10"/>
  <c r="J30" i="10"/>
  <c r="B25" i="10"/>
  <c r="B17" i="10"/>
  <c r="B16" i="10"/>
  <c r="H16" i="10" s="1"/>
  <c r="J16" i="10" s="1"/>
  <c r="E12" i="7" s="1"/>
  <c r="G12" i="7" s="1"/>
  <c r="B15" i="10"/>
  <c r="B14" i="10"/>
  <c r="H14" i="10"/>
  <c r="E9" i="7"/>
  <c r="E21" i="7" s="1"/>
  <c r="G21" i="7" s="1"/>
  <c r="E8" i="7"/>
  <c r="G8" i="7" s="1"/>
  <c r="E15" i="7"/>
  <c r="G15" i="7" s="1"/>
  <c r="H15" i="7" s="1"/>
  <c r="G5" i="7"/>
  <c r="J8" i="10"/>
  <c r="E7" i="7" s="1"/>
  <c r="E17" i="7" s="1"/>
  <c r="G17" i="7" s="1"/>
  <c r="J9" i="10"/>
  <c r="J10" i="10"/>
  <c r="H24" i="10"/>
  <c r="J24" i="10" s="1"/>
  <c r="E14" i="7" s="1"/>
  <c r="G14" i="7" s="1"/>
  <c r="H15" i="10"/>
  <c r="J15" i="10" s="1"/>
  <c r="E11" i="7" s="1"/>
  <c r="G11" i="7" s="1"/>
  <c r="H17" i="10"/>
  <c r="J17" i="10" s="1"/>
  <c r="E13" i="7" s="1"/>
  <c r="G13" i="7" s="1"/>
  <c r="B19" i="10"/>
  <c r="B5" i="8"/>
  <c r="B6" i="8" s="1"/>
  <c r="H43" i="10" l="1"/>
  <c r="J14" i="10"/>
  <c r="E10" i="7" s="1"/>
  <c r="G10" i="7" s="1"/>
  <c r="G9" i="7"/>
  <c r="G7" i="7"/>
  <c r="B37" i="10"/>
  <c r="J35" i="10" s="1"/>
  <c r="H16" i="7" s="1"/>
  <c r="H4" i="7" l="1"/>
  <c r="B7" i="8" l="1"/>
  <c r="B8" i="8" s="1"/>
</calcChain>
</file>

<file path=xl/sharedStrings.xml><?xml version="1.0" encoding="utf-8"?>
<sst xmlns="http://schemas.openxmlformats.org/spreadsheetml/2006/main" count="314" uniqueCount="160">
  <si>
    <t>ACV : Método - Ecoindicador 99</t>
  </si>
  <si>
    <t>PARÁMETRO</t>
  </si>
  <si>
    <t>ESPECIFICACIÓN</t>
  </si>
  <si>
    <t>Capacidad fotovoltaica (DC)</t>
  </si>
  <si>
    <t>200,0 MW_p (≈159,6 MW_ac de salida)</t>
  </si>
  <si>
    <t>Generación anual esperada</t>
  </si>
  <si>
    <t>~396,5 GWh/año (escenario P50)</t>
  </si>
  <si>
    <t>Número de módulos FV</t>
  </si>
  <si>
    <t>400.088 paneles fotovoltaicos (2,46 m * 1,13 m)</t>
  </si>
  <si>
    <t>Tipo de módulo</t>
  </si>
  <si>
    <t>Silicio monocristalino (estimado, alta eficiencia)</t>
  </si>
  <si>
    <t>Seguimiento solar</t>
  </si>
  <si>
    <t>Estructuras con seguidor solar a un eje (N-S), ±55° de inclinación</t>
  </si>
  <si>
    <t>Número de inversores</t>
  </si>
  <si>
    <t>38 inversores centrales (≈4,2 MW_ac c/u)</t>
  </si>
  <si>
    <t>Transformadores elevadores</t>
  </si>
  <si>
    <t>38 transformadores 0,63/34,5 kV (≈5,2 MVA c/u, tipo pad-mount)</t>
  </si>
  <si>
    <t>Subestación de interconexión</t>
  </si>
  <si>
    <r>
      <t xml:space="preserve">Nueva S/E </t>
    </r>
    <r>
      <rPr>
        <i/>
        <sz val="10"/>
        <color theme="1"/>
        <rFont val="Calibri Light"/>
        <family val="2"/>
      </rPr>
      <t>La Ceiba</t>
    </r>
    <r>
      <rPr>
        <sz val="10"/>
        <color theme="1"/>
        <rFont val="Calibri Light"/>
        <family val="2"/>
      </rPr>
      <t xml:space="preserve"> 34,5 kV a 230 kV, capacidad ~2×100 MVA (en sitio)</t>
    </r>
  </si>
  <si>
    <t>Tensión de transmisión</t>
  </si>
  <si>
    <t>230 kV (alto voltaje de evacuación)</t>
  </si>
  <si>
    <t>Área total del sitio</t>
  </si>
  <si>
    <t>401,3 ha (polígono completo)</t>
  </si>
  <si>
    <t>Área utilizable para paneles</t>
  </si>
  <si>
    <t>322,4 ha (dentro del polígono)</t>
  </si>
  <si>
    <t>Altitud y terreno</t>
  </si>
  <si>
    <t>180–250 m.s.n.m.; lomas de pendiente moderada</t>
  </si>
  <si>
    <t>Recurso solar</t>
  </si>
  <si>
    <t>5,3–5,5 kWh/m²/día (estimado promedio anual)</t>
  </si>
  <si>
    <t>Factor de planta esperado</t>
  </si>
  <si>
    <t>22,6% (indicativo, según P50)</t>
  </si>
  <si>
    <t>Vida útil estimada</t>
  </si>
  <si>
    <t>≥25 años (operación prevista de largo plazo)</t>
  </si>
  <si>
    <t>Fase de construcción</t>
  </si>
  <si>
    <t>Componente</t>
  </si>
  <si>
    <t>Actividad</t>
  </si>
  <si>
    <t>Consumo</t>
  </si>
  <si>
    <t>Unidad</t>
  </si>
  <si>
    <t xml:space="preserve">Total </t>
  </si>
  <si>
    <t>Fuente:</t>
  </si>
  <si>
    <r>
      <t xml:space="preserve">AMPYR Renewable Energy Resources Twelve Private Limited. (s.f.). </t>
    </r>
    <r>
      <rPr>
        <i/>
        <sz val="11"/>
        <color theme="1"/>
        <rFont val="Aptos Narrow"/>
        <family val="2"/>
        <scheme val="minor"/>
      </rPr>
      <t>Environmental and social impact assessment for a 200 MWac / 260 MWp solar power project in Mhasale Village, Dhule District, Maharashtra</t>
    </r>
    <r>
      <rPr>
        <sz val="11"/>
        <color theme="1"/>
        <rFont val="Aptos Narrow"/>
        <family val="2"/>
        <scheme val="minor"/>
      </rPr>
      <t>.</t>
    </r>
  </si>
  <si>
    <t>Datos</t>
  </si>
  <si>
    <t>Cantidad</t>
  </si>
  <si>
    <t>Diesel</t>
  </si>
  <si>
    <t>Operaciones de la fase de construcción</t>
  </si>
  <si>
    <t>l/mes* 50 MWac</t>
  </si>
  <si>
    <t>m³</t>
  </si>
  <si>
    <t>Duración  total</t>
  </si>
  <si>
    <t>meses</t>
  </si>
  <si>
    <t>Agua</t>
  </si>
  <si>
    <t>Actividades de construcción
Necesidades de agua doméstica
Agua potable</t>
  </si>
  <si>
    <t>m³/año* 50 Mwac</t>
  </si>
  <si>
    <t>Materiales</t>
  </si>
  <si>
    <t>MW</t>
  </si>
  <si>
    <t xml:space="preserve">Instalaciones de la planta </t>
  </si>
  <si>
    <t>Hormigón</t>
  </si>
  <si>
    <t>t/MW</t>
  </si>
  <si>
    <t>Kg</t>
  </si>
  <si>
    <t>Acero</t>
  </si>
  <si>
    <t xml:space="preserve">Cobre </t>
  </si>
  <si>
    <t>Aluminio</t>
  </si>
  <si>
    <t>Composicion del un módulo FV</t>
  </si>
  <si>
    <t>Materiales  del  módulo FV</t>
  </si>
  <si>
    <t>Silicio (4%)</t>
  </si>
  <si>
    <t>%</t>
  </si>
  <si>
    <t>Módulo FV</t>
  </si>
  <si>
    <t>Metales: Al, Ag, Acero (18%)</t>
  </si>
  <si>
    <t>Plástico (11 %)</t>
  </si>
  <si>
    <t>Vidrio (67%)</t>
  </si>
  <si>
    <r>
      <t>Vidal, O., Rostom, F., François, C., &amp; Giraud, G. (2017). Global trends in metal consumption and supply: the raw material–energy nexus. </t>
    </r>
    <r>
      <rPr>
        <i/>
        <sz val="8"/>
        <color rgb="FF222222"/>
        <rFont val="Aptos Narrow"/>
        <family val="2"/>
      </rPr>
      <t>Elements: An International Magazine of Mineralogy, Geochemistry, and Petrology</t>
    </r>
    <r>
      <rPr>
        <sz val="8"/>
        <color rgb="FF222222"/>
        <rFont val="Aptos Narrow"/>
        <family val="2"/>
      </rPr>
      <t>, </t>
    </r>
    <r>
      <rPr>
        <i/>
        <sz val="8"/>
        <color rgb="FF222222"/>
        <rFont val="Aptos Narrow"/>
        <family val="2"/>
      </rPr>
      <t>13</t>
    </r>
    <r>
      <rPr>
        <sz val="8"/>
        <color rgb="FF222222"/>
        <rFont val="Aptos Narrow"/>
        <family val="2"/>
      </rPr>
      <t>(5), 319-324.</t>
    </r>
  </si>
  <si>
    <t>Peso</t>
  </si>
  <si>
    <t>Superficie</t>
  </si>
  <si>
    <t>m²</t>
  </si>
  <si>
    <t>Trasporte de módulos FV</t>
  </si>
  <si>
    <t>Distancia (Puerto de Guayaquil - Zapotillo)</t>
  </si>
  <si>
    <t>km</t>
  </si>
  <si>
    <t>Construcción de la planta</t>
  </si>
  <si>
    <t xml:space="preserve">Transporte de materiaes </t>
  </si>
  <si>
    <t>Kg*Km</t>
  </si>
  <si>
    <t>tkm</t>
  </si>
  <si>
    <t>Masa  total de paneles FV</t>
  </si>
  <si>
    <t>Fase de operación</t>
  </si>
  <si>
    <t>Componentes</t>
  </si>
  <si>
    <t>Limpieza húmeda ocasional
Requisito de agua doméstica
Agua potable</t>
  </si>
  <si>
    <t>m³/año</t>
  </si>
  <si>
    <t>Fase de cierre</t>
  </si>
  <si>
    <t>Desmantelamiento de la planta</t>
  </si>
  <si>
    <t>Transporte de residuos</t>
  </si>
  <si>
    <t>Distancia al centro de gestión de residuos</t>
  </si>
  <si>
    <t>Residuos  del  módulo FV</t>
  </si>
  <si>
    <t>Tipo de tratamiento</t>
  </si>
  <si>
    <t>Alumino</t>
  </si>
  <si>
    <t>Reciclado</t>
  </si>
  <si>
    <t>Otros metales</t>
  </si>
  <si>
    <t>Plástico (11 %) -vertedero</t>
  </si>
  <si>
    <t>Vidrio (67%) - reciclaje</t>
  </si>
  <si>
    <r>
      <t xml:space="preserve">Frischknecht, R., Stolz, P., Krebs, L., de Wild-Scholten, M., &amp; Sinha, P. (2020). </t>
    </r>
    <r>
      <rPr>
        <i/>
        <sz val="11"/>
        <color theme="1"/>
        <rFont val="Aptos Narrow"/>
        <family val="2"/>
        <scheme val="minor"/>
      </rPr>
      <t>Life cycle inventories and life cycle assessments of photovoltaic systems</t>
    </r>
    <r>
      <rPr>
        <sz val="11"/>
        <color theme="1"/>
        <rFont val="Aptos Narrow"/>
        <family val="2"/>
        <scheme val="minor"/>
      </rPr>
      <t xml:space="preserve"> (Report IEA-PVPS T12-19:2020). International Energy Agency Photovoltaic Power Systems Programme</t>
    </r>
  </si>
  <si>
    <r>
      <t xml:space="preserve">Ministery of Housing, S. P. (2000). </t>
    </r>
    <r>
      <rPr>
        <i/>
        <sz val="12"/>
        <color rgb="FF000000"/>
        <rFont val="Arial"/>
        <family val="2"/>
      </rPr>
      <t>Eco-Indicator 99 Manual for Designers: A Damege Orientes Method for life Cycle Impact Assessmentes.</t>
    </r>
    <r>
      <rPr>
        <sz val="12"/>
        <color rgb="FF000000"/>
        <rFont val="Arial"/>
        <family val="2"/>
      </rPr>
      <t xml:space="preserve"> Den Haag, The Netherlands. Disponible en:</t>
    </r>
  </si>
  <si>
    <t>Componentes del proyecto de todas las fases</t>
  </si>
  <si>
    <t xml:space="preserve"> https://pre-sustainability.com/articles/eco-indicator-99-manuals/</t>
  </si>
  <si>
    <t>Fases</t>
  </si>
  <si>
    <t>Procesos y materiales</t>
  </si>
  <si>
    <t>Descripción</t>
  </si>
  <si>
    <t>Indicador</t>
  </si>
  <si>
    <t>Resultado en (mPt)</t>
  </si>
  <si>
    <t>Impacto en (mPt) por fase</t>
  </si>
  <si>
    <t>Construcción</t>
  </si>
  <si>
    <t>Incluye consumo y procesos</t>
  </si>
  <si>
    <t>Representa maquinaria</t>
  </si>
  <si>
    <t>Obras civiles</t>
  </si>
  <si>
    <t>Estructuras</t>
  </si>
  <si>
    <t>Cobre</t>
  </si>
  <si>
    <t>Utilizado en conexiones eléctricas internas y cableado de los módulos fotovoltaicos.</t>
  </si>
  <si>
    <t>Utilizado en el marco estructural de los módulos fotovoltaicos.</t>
  </si>
  <si>
    <t>Silicio</t>
  </si>
  <si>
    <t>Material semiconductor base de las celdas fotovoltaicas.</t>
  </si>
  <si>
    <t>Metales</t>
  </si>
  <si>
    <t>Material  de las celdas fotovoltaicas.</t>
  </si>
  <si>
    <t>Plástico</t>
  </si>
  <si>
    <t>Material encapsulante (EVA y backsheet) utilizado para protección interna de las celdas fotovoltaicas.</t>
  </si>
  <si>
    <t>Vidrio</t>
  </si>
  <si>
    <t>Material principal de los módulos fotovoltaicos.</t>
  </si>
  <si>
    <t>Transporte de materiales</t>
  </si>
  <si>
    <t>Transporte asociado a actividades de construcción del parque (movilización de personal, equipos y herramientas dentro y fuera del sitio)</t>
  </si>
  <si>
    <t>Operación</t>
  </si>
  <si>
    <t>Uso de agua para limpieza periódica de módulos fotovoltaicos y consumo doméstico del personal operativo.</t>
  </si>
  <si>
    <t>Cierre</t>
  </si>
  <si>
    <t>Transporte de materiales desmontados (paneles, estructuras, cables) hacia centros de acopio, reciclaje o disposición final.</t>
  </si>
  <si>
    <t>Impacto del proyecto</t>
  </si>
  <si>
    <t>Vida útil</t>
  </si>
  <si>
    <t>años</t>
  </si>
  <si>
    <t>Producción</t>
  </si>
  <si>
    <t xml:space="preserve"> GWh/año</t>
  </si>
  <si>
    <t>MWh/año</t>
  </si>
  <si>
    <t>Energía Total</t>
  </si>
  <si>
    <t>KWh</t>
  </si>
  <si>
    <t>mPt totales</t>
  </si>
  <si>
    <t>mPt</t>
  </si>
  <si>
    <t xml:space="preserve">Impacto </t>
  </si>
  <si>
    <t>mPt/KWh</t>
  </si>
  <si>
    <t>Upstream contributions to: IPCC GWP 100a</t>
  </si>
  <si>
    <t>Processes</t>
  </si>
  <si>
    <t>Required amount</t>
  </si>
  <si>
    <t>Unit</t>
  </si>
  <si>
    <t>Result [kg CO2 eq]</t>
  </si>
  <si>
    <t>Direct contribution [kg CO2 eq]</t>
  </si>
  <si>
    <t>Electricity PV Production</t>
  </si>
  <si>
    <t>MJ</t>
  </si>
  <si>
    <t>Aerated concrete block, production mix, at plant, mix of P2 04 and P4 05, average density 433 kg/m3 - RER</t>
  </si>
  <si>
    <t>kg</t>
  </si>
  <si>
    <t>Container glass (delivered to the end user of the contained product, reuse rate: 7%), production mix at plant, technology mix - RER</t>
  </si>
  <si>
    <t>Aluminium sheet, production mix, at plant, primary production, aluminium semi-finished sheet product, including primary production, transformation and recycling - RER</t>
  </si>
  <si>
    <t>Steel sections (ILCD), production mix, at plant, blast furnace route / electric arc furnace route, 1 kg - GLO</t>
  </si>
  <si>
    <t>Copper sheet; technology mix; market mix, at plant; 0,6 mm thickness, Technology and Market Mix for Sheet fabrication representing main European production countries, Market Mix for Copper cathode in Europe (primary and secondary Cu cathode production... - EU25</t>
  </si>
  <si>
    <t>Liquid Packaging Board (LPB) production, production mix, at plant, production, mineral coated LPB (n=4), basis weight: 266 g/m2 - EU27</t>
  </si>
  <si>
    <t>Barge, technology mix, 1.228 t pay load capacity - RER</t>
  </si>
  <si>
    <t>t*km</t>
  </si>
  <si>
    <t>Diesel mix at refinery, production mix, at refinery, from crude oil and bio components, fuel supply, 10 ppm sulphur, 5.75 wt.% bio components - EU27</t>
  </si>
  <si>
    <t>Polyvinylchloride resin (B-PVC), production mix, at plant, bulk polymerisation - RER</t>
  </si>
  <si>
    <t>Polyethylene terephthalate (PET) granulate, production mix, at plant, amorphous - 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</si>
</sst>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rgb="FF050505"/>
      <name val="Segoe UI Historic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i/>
      <sz val="10"/>
      <color theme="1"/>
      <name val="Calibri Light"/>
      <family val="2"/>
    </font>
    <font>
      <i/>
      <sz val="11"/>
      <color theme="1"/>
      <name val="Aptos Narrow"/>
      <family val="2"/>
      <scheme val="minor"/>
    </font>
    <font>
      <sz val="8"/>
      <color rgb="FF222222"/>
      <name val="Aptos Narrow"/>
      <family val="2"/>
    </font>
    <font>
      <i/>
      <sz val="8"/>
      <color rgb="FF222222"/>
      <name val="Aptos Narrow"/>
      <family val="2"/>
    </font>
    <font>
      <sz val="11"/>
      <color rgb="FF000000"/>
      <name val="Aptos Narrow"/>
      <family val="2"/>
      <scheme val="minor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b/>
      <sz val="11"/>
      <color indexed="8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3" fillId="0" borderId="0"/>
  </cellStyleXfs>
  <cellXfs count="91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0" fillId="0" borderId="5" xfId="0" applyBorder="1"/>
    <xf numFmtId="0" fontId="3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/>
    <xf numFmtId="0" fontId="1" fillId="4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5" borderId="2" xfId="0" applyFill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3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0" fillId="0" borderId="12" xfId="0" applyBorder="1"/>
    <xf numFmtId="0" fontId="1" fillId="0" borderId="13" xfId="0" applyFont="1" applyBorder="1" applyAlignment="1">
      <alignment vertic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2" fillId="0" borderId="0" xfId="1" applyAlignment="1">
      <alignment vertical="center"/>
    </xf>
    <xf numFmtId="0" fontId="1" fillId="6" borderId="2" xfId="0" applyFont="1" applyFill="1" applyBorder="1"/>
    <xf numFmtId="0" fontId="0" fillId="6" borderId="2" xfId="0" applyFill="1" applyBorder="1"/>
    <xf numFmtId="0" fontId="13" fillId="0" borderId="0" xfId="2"/>
    <xf numFmtId="0" fontId="14" fillId="0" borderId="0" xfId="2" applyFont="1"/>
    <xf numFmtId="0" fontId="13" fillId="0" borderId="1" xfId="2" applyBorder="1"/>
    <xf numFmtId="0" fontId="13" fillId="0" borderId="17" xfId="2" applyBorder="1"/>
    <xf numFmtId="0" fontId="13" fillId="0" borderId="18" xfId="2" applyBorder="1"/>
    <xf numFmtId="0" fontId="13" fillId="0" borderId="19" xfId="2" applyBorder="1"/>
    <xf numFmtId="0" fontId="15" fillId="0" borderId="20" xfId="2" applyFont="1" applyBorder="1"/>
    <xf numFmtId="0" fontId="15" fillId="0" borderId="0" xfId="2" applyFont="1"/>
    <xf numFmtId="0" fontId="13" fillId="7" borderId="19" xfId="2" applyFill="1" applyBorder="1"/>
    <xf numFmtId="0" fontId="13" fillId="7" borderId="2" xfId="2" applyFill="1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wrapText="1"/>
    </xf>
    <xf numFmtId="0" fontId="16" fillId="0" borderId="2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center" vertical="center" wrapText="1"/>
    </xf>
    <xf numFmtId="164" fontId="0" fillId="0" borderId="2" xfId="0" applyNumberFormat="1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164" fontId="0" fillId="0" borderId="11" xfId="0" applyNumberFormat="1" applyBorder="1"/>
    <xf numFmtId="2" fontId="0" fillId="0" borderId="2" xfId="0" applyNumberFormat="1" applyBorder="1"/>
    <xf numFmtId="0" fontId="0" fillId="0" borderId="7" xfId="0" applyBorder="1"/>
    <xf numFmtId="0" fontId="1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13" xfId="0" applyBorder="1"/>
    <xf numFmtId="164" fontId="0" fillId="0" borderId="13" xfId="0" applyNumberFormat="1" applyBorder="1"/>
    <xf numFmtId="0" fontId="0" fillId="0" borderId="2" xfId="0" applyBorder="1" applyAlignment="1">
      <alignment vertical="center" wrapText="1"/>
    </xf>
    <xf numFmtId="0" fontId="17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4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5" borderId="2" xfId="0" applyFont="1" applyFill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5" borderId="2" xfId="0" applyFont="1" applyFill="1" applyBorder="1" applyAlignment="1">
      <alignment horizontal="center" vertical="center" textRotation="90"/>
    </xf>
    <xf numFmtId="0" fontId="1" fillId="5" borderId="6" xfId="0" applyFont="1" applyFill="1" applyBorder="1" applyAlignment="1">
      <alignment horizontal="center" vertical="center" textRotation="90"/>
    </xf>
    <xf numFmtId="0" fontId="1" fillId="5" borderId="3" xfId="0" applyFont="1" applyFill="1" applyBorder="1" applyAlignment="1">
      <alignment horizontal="center" vertical="center" textRotation="90"/>
    </xf>
    <xf numFmtId="0" fontId="1" fillId="5" borderId="4" xfId="0" applyFont="1" applyFill="1" applyBorder="1" applyAlignment="1">
      <alignment horizontal="center" vertical="center" textRotation="90"/>
    </xf>
    <xf numFmtId="0" fontId="0" fillId="5" borderId="6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Relationship Id="rId5" Type="http://schemas.openxmlformats.org/officeDocument/2006/relationships/image" Target="../media/image5.tmp"/><Relationship Id="rId4" Type="http://schemas.openxmlformats.org/officeDocument/2006/relationships/image" Target="../media/image4.tmp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tmp"/><Relationship Id="rId3" Type="http://schemas.openxmlformats.org/officeDocument/2006/relationships/image" Target="../media/image8.tmp"/><Relationship Id="rId7" Type="http://schemas.openxmlformats.org/officeDocument/2006/relationships/image" Target="../media/image12.tmp"/><Relationship Id="rId2" Type="http://schemas.openxmlformats.org/officeDocument/2006/relationships/image" Target="../media/image7.tmp"/><Relationship Id="rId1" Type="http://schemas.openxmlformats.org/officeDocument/2006/relationships/image" Target="../media/image6.tmp"/><Relationship Id="rId6" Type="http://schemas.openxmlformats.org/officeDocument/2006/relationships/image" Target="../media/image11.tmp"/><Relationship Id="rId5" Type="http://schemas.openxmlformats.org/officeDocument/2006/relationships/image" Target="../media/image10.tmp"/><Relationship Id="rId4" Type="http://schemas.openxmlformats.org/officeDocument/2006/relationships/image" Target="../media/image9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tmp"/><Relationship Id="rId2" Type="http://schemas.openxmlformats.org/officeDocument/2006/relationships/image" Target="../media/image15.tmp"/><Relationship Id="rId1" Type="http://schemas.openxmlformats.org/officeDocument/2006/relationships/image" Target="../media/image14.tmp"/><Relationship Id="rId5" Type="http://schemas.openxmlformats.org/officeDocument/2006/relationships/image" Target="../media/image18.png"/><Relationship Id="rId4" Type="http://schemas.openxmlformats.org/officeDocument/2006/relationships/image" Target="../media/image17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250372</xdr:colOff>
      <xdr:row>72</xdr:row>
      <xdr:rowOff>76198</xdr:rowOff>
    </xdr:from>
    <xdr:to>
      <xdr:col>20</xdr:col>
      <xdr:colOff>566057</xdr:colOff>
      <xdr:row>124</xdr:row>
      <xdr:rowOff>54429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97579CA-EF70-1747-C274-0386E7E42F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34" t="2533" r="8460" b="6886"/>
        <a:stretch>
          <a:fillRect/>
        </a:stretch>
      </xdr:blipFill>
      <xdr:spPr>
        <a:xfrm>
          <a:off x="15261772" y="13835741"/>
          <a:ext cx="6672942" cy="9601202"/>
        </a:xfrm>
        <a:prstGeom prst="rect">
          <a:avLst/>
        </a:prstGeom>
      </xdr:spPr>
    </xdr:pic>
    <xdr:clientData/>
  </xdr:twoCellAnchor>
  <xdr:twoCellAnchor editAs="oneCell">
    <xdr:from>
      <xdr:col>12</xdr:col>
      <xdr:colOff>97971</xdr:colOff>
      <xdr:row>18</xdr:row>
      <xdr:rowOff>152401</xdr:rowOff>
    </xdr:from>
    <xdr:to>
      <xdr:col>20</xdr:col>
      <xdr:colOff>587828</xdr:colOff>
      <xdr:row>45</xdr:row>
      <xdr:rowOff>145262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DC59197-61CE-0C20-B153-4E6E12E7F0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22" r="13267"/>
        <a:stretch>
          <a:fillRect/>
        </a:stretch>
      </xdr:blipFill>
      <xdr:spPr>
        <a:xfrm>
          <a:off x="15109371" y="3668487"/>
          <a:ext cx="6847114" cy="5566347"/>
        </a:xfrm>
        <a:prstGeom prst="rect">
          <a:avLst/>
        </a:prstGeom>
      </xdr:spPr>
    </xdr:pic>
    <xdr:clientData/>
  </xdr:twoCellAnchor>
  <xdr:twoCellAnchor editAs="oneCell">
    <xdr:from>
      <xdr:col>12</xdr:col>
      <xdr:colOff>359228</xdr:colOff>
      <xdr:row>3</xdr:row>
      <xdr:rowOff>97970</xdr:rowOff>
    </xdr:from>
    <xdr:to>
      <xdr:col>20</xdr:col>
      <xdr:colOff>359228</xdr:colOff>
      <xdr:row>12</xdr:row>
      <xdr:rowOff>21963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0F7D67E-D292-79DD-C973-B75EEA8E8C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5" t="7881" r="5296"/>
        <a:stretch>
          <a:fillRect/>
        </a:stretch>
      </xdr:blipFill>
      <xdr:spPr>
        <a:xfrm>
          <a:off x="15370628" y="685799"/>
          <a:ext cx="6357257" cy="2035821"/>
        </a:xfrm>
        <a:prstGeom prst="rect">
          <a:avLst/>
        </a:prstGeom>
      </xdr:spPr>
    </xdr:pic>
    <xdr:clientData/>
  </xdr:twoCellAnchor>
  <xdr:twoCellAnchor editAs="oneCell">
    <xdr:from>
      <xdr:col>12</xdr:col>
      <xdr:colOff>283028</xdr:colOff>
      <xdr:row>53</xdr:row>
      <xdr:rowOff>32656</xdr:rowOff>
    </xdr:from>
    <xdr:to>
      <xdr:col>20</xdr:col>
      <xdr:colOff>500743</xdr:colOff>
      <xdr:row>64</xdr:row>
      <xdr:rowOff>135182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AABDD45-5C99-D74B-61D0-A8F9D7E720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4" t="7095" r="2853"/>
        <a:stretch>
          <a:fillRect/>
        </a:stretch>
      </xdr:blipFill>
      <xdr:spPr>
        <a:xfrm>
          <a:off x="15294428" y="10254342"/>
          <a:ext cx="6574972" cy="2138154"/>
        </a:xfrm>
        <a:prstGeom prst="rect">
          <a:avLst/>
        </a:prstGeom>
      </xdr:spPr>
    </xdr:pic>
    <xdr:clientData/>
  </xdr:twoCellAnchor>
  <xdr:twoCellAnchor editAs="oneCell">
    <xdr:from>
      <xdr:col>21</xdr:col>
      <xdr:colOff>424544</xdr:colOff>
      <xdr:row>2</xdr:row>
      <xdr:rowOff>50248</xdr:rowOff>
    </xdr:from>
    <xdr:to>
      <xdr:col>27</xdr:col>
      <xdr:colOff>291159</xdr:colOff>
      <xdr:row>13</xdr:row>
      <xdr:rowOff>131308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FD758A-94E4-9DB8-622C-FD11EB47E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87858" y="442134"/>
          <a:ext cx="4634558" cy="2584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42334</xdr:colOff>
      <xdr:row>1</xdr:row>
      <xdr:rowOff>16933</xdr:rowOff>
    </xdr:from>
    <xdr:to>
      <xdr:col>18</xdr:col>
      <xdr:colOff>490673</xdr:colOff>
      <xdr:row>15</xdr:row>
      <xdr:rowOff>149993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66BFE0-D52E-4FA5-B801-5CF21EFA7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1" y="203200"/>
          <a:ext cx="7611139" cy="3866860"/>
        </a:xfrm>
        <a:prstGeom prst="rect">
          <a:avLst/>
        </a:prstGeom>
      </xdr:spPr>
    </xdr:pic>
    <xdr:clientData/>
  </xdr:twoCellAnchor>
  <xdr:twoCellAnchor editAs="oneCell">
    <xdr:from>
      <xdr:col>9</xdr:col>
      <xdr:colOff>228599</xdr:colOff>
      <xdr:row>15</xdr:row>
      <xdr:rowOff>135468</xdr:rowOff>
    </xdr:from>
    <xdr:to>
      <xdr:col>18</xdr:col>
      <xdr:colOff>262466</xdr:colOff>
      <xdr:row>25</xdr:row>
      <xdr:rowOff>177801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892302B-EA37-58E3-E66D-7011389F61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2" t="7749" r="1998"/>
        <a:stretch>
          <a:fillRect/>
        </a:stretch>
      </xdr:blipFill>
      <xdr:spPr>
        <a:xfrm>
          <a:off x="14181666" y="4055535"/>
          <a:ext cx="7196667" cy="2116666"/>
        </a:xfrm>
        <a:prstGeom prst="rect">
          <a:avLst/>
        </a:prstGeom>
      </xdr:spPr>
    </xdr:pic>
    <xdr:clientData/>
  </xdr:twoCellAnchor>
  <xdr:twoCellAnchor editAs="oneCell">
    <xdr:from>
      <xdr:col>9</xdr:col>
      <xdr:colOff>181435</xdr:colOff>
      <xdr:row>24</xdr:row>
      <xdr:rowOff>160867</xdr:rowOff>
    </xdr:from>
    <xdr:to>
      <xdr:col>18</xdr:col>
      <xdr:colOff>355599</xdr:colOff>
      <xdr:row>39</xdr:row>
      <xdr:rowOff>121323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2373523-11D0-5644-6509-C4C5669F1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4502" y="5969000"/>
          <a:ext cx="7336964" cy="2754456"/>
        </a:xfrm>
        <a:prstGeom prst="rect">
          <a:avLst/>
        </a:prstGeom>
      </xdr:spPr>
    </xdr:pic>
    <xdr:clientData/>
  </xdr:twoCellAnchor>
  <xdr:twoCellAnchor editAs="oneCell">
    <xdr:from>
      <xdr:col>9</xdr:col>
      <xdr:colOff>59267</xdr:colOff>
      <xdr:row>39</xdr:row>
      <xdr:rowOff>50800</xdr:rowOff>
    </xdr:from>
    <xdr:to>
      <xdr:col>18</xdr:col>
      <xdr:colOff>318990</xdr:colOff>
      <xdr:row>50</xdr:row>
      <xdr:rowOff>3772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0FA0C33-06A0-C37D-78A9-1E497BD96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2334" y="8652933"/>
          <a:ext cx="7422523" cy="1996613"/>
        </a:xfrm>
        <a:prstGeom prst="rect">
          <a:avLst/>
        </a:prstGeom>
      </xdr:spPr>
    </xdr:pic>
    <xdr:clientData/>
  </xdr:twoCellAnchor>
  <xdr:twoCellAnchor editAs="oneCell">
    <xdr:from>
      <xdr:col>8</xdr:col>
      <xdr:colOff>745067</xdr:colOff>
      <xdr:row>50</xdr:row>
      <xdr:rowOff>143932</xdr:rowOff>
    </xdr:from>
    <xdr:to>
      <xdr:col>18</xdr:col>
      <xdr:colOff>127000</xdr:colOff>
      <xdr:row>97</xdr:row>
      <xdr:rowOff>143932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03523CA-7563-E8A2-B280-A329EAB29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2267" y="10794999"/>
          <a:ext cx="7340600" cy="8754533"/>
        </a:xfrm>
        <a:prstGeom prst="rect">
          <a:avLst/>
        </a:prstGeom>
      </xdr:spPr>
    </xdr:pic>
    <xdr:clientData/>
  </xdr:twoCellAnchor>
  <xdr:twoCellAnchor editAs="oneCell">
    <xdr:from>
      <xdr:col>9</xdr:col>
      <xdr:colOff>203199</xdr:colOff>
      <xdr:row>98</xdr:row>
      <xdr:rowOff>110065</xdr:rowOff>
    </xdr:from>
    <xdr:to>
      <xdr:col>18</xdr:col>
      <xdr:colOff>220132</xdr:colOff>
      <xdr:row>113</xdr:row>
      <xdr:rowOff>16932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C9E0F1A-3031-5857-FEEF-7B40F8AA6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6266" y="19701932"/>
          <a:ext cx="7179733" cy="2700867"/>
        </a:xfrm>
        <a:prstGeom prst="rect">
          <a:avLst/>
        </a:prstGeom>
      </xdr:spPr>
    </xdr:pic>
    <xdr:clientData/>
  </xdr:twoCellAnchor>
  <xdr:twoCellAnchor editAs="oneCell">
    <xdr:from>
      <xdr:col>9</xdr:col>
      <xdr:colOff>262466</xdr:colOff>
      <xdr:row>114</xdr:row>
      <xdr:rowOff>0</xdr:rowOff>
    </xdr:from>
    <xdr:to>
      <xdr:col>18</xdr:col>
      <xdr:colOff>5291</xdr:colOff>
      <xdr:row>132</xdr:row>
      <xdr:rowOff>50800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8701368-0C6E-6C0F-50A3-2B8EC6EC6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5533" y="22572133"/>
          <a:ext cx="6900333" cy="340360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133</xdr:row>
      <xdr:rowOff>133350</xdr:rowOff>
    </xdr:from>
    <xdr:to>
      <xdr:col>16</xdr:col>
      <xdr:colOff>459600</xdr:colOff>
      <xdr:row>159</xdr:row>
      <xdr:rowOff>396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D8B7AA6-D402-CC2C-5946-F8B9482E5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1300" y="25603200"/>
          <a:ext cx="5707875" cy="45723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285750</xdr:colOff>
      <xdr:row>0</xdr:row>
      <xdr:rowOff>114300</xdr:rowOff>
    </xdr:from>
    <xdr:to>
      <xdr:col>42</xdr:col>
      <xdr:colOff>285750</xdr:colOff>
      <xdr:row>63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11C151A-BAD5-6AC3-8E35-D2A436983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0" y="114300"/>
          <a:ext cx="17602200" cy="1194435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95249</xdr:colOff>
      <xdr:row>0</xdr:row>
      <xdr:rowOff>171450</xdr:rowOff>
    </xdr:from>
    <xdr:to>
      <xdr:col>20</xdr:col>
      <xdr:colOff>241380</xdr:colOff>
      <xdr:row>63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5C26A13-4B76-A31C-5333-F2553F376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171450"/>
          <a:ext cx="16148131" cy="11906250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83190</xdr:colOff>
      <xdr:row>109</xdr:row>
      <xdr:rowOff>76200</xdr:rowOff>
    </xdr:from>
    <xdr:to>
      <xdr:col>20</xdr:col>
      <xdr:colOff>57150</xdr:colOff>
      <xdr:row>171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A08F0EA-5F77-045A-A90F-EF536AB70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90" y="20840700"/>
          <a:ext cx="15975960" cy="117729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20</xdr:col>
      <xdr:colOff>86377</xdr:colOff>
      <xdr:row>109</xdr:row>
      <xdr:rowOff>57150</xdr:rowOff>
    </xdr:from>
    <xdr:to>
      <xdr:col>42</xdr:col>
      <xdr:colOff>304800</xdr:colOff>
      <xdr:row>171</xdr:row>
      <xdr:rowOff>76200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C4F271B-80DD-CDE3-3329-A81B5EBF9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88377" y="20821650"/>
          <a:ext cx="17820623" cy="1183005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95250</xdr:colOff>
      <xdr:row>63</xdr:row>
      <xdr:rowOff>95250</xdr:rowOff>
    </xdr:from>
    <xdr:to>
      <xdr:col>42</xdr:col>
      <xdr:colOff>323850</xdr:colOff>
      <xdr:row>109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7660C7-12DF-CD65-633C-C3EE4D93E2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95" r="954" b="46401"/>
        <a:stretch>
          <a:fillRect/>
        </a:stretch>
      </xdr:blipFill>
      <xdr:spPr bwMode="auto">
        <a:xfrm>
          <a:off x="95250" y="12096750"/>
          <a:ext cx="33832800" cy="8686800"/>
        </a:xfrm>
        <a:prstGeom prst="rect">
          <a:avLst/>
        </a:prstGeom>
        <a:noFill/>
        <a:ln w="285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pre-sustainability.com/articles/eco-indicator-99-manuals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workbookViewId="0">
      <selection activeCell="E14" sqref="E14"/>
    </sheetView>
  </sheetViews>
  <sheetFormatPr defaultColWidth="11.42578125" defaultRowHeight="14.25"/>
  <cols>
    <col min="1" max="1" width="31.7109375" customWidth="1"/>
    <col min="2" max="2" width="38.85546875" customWidth="1"/>
  </cols>
  <sheetData>
    <row r="1" spans="1:2" ht="15.75" thickBot="1">
      <c r="A1" s="72" t="s">
        <v>0</v>
      </c>
      <c r="B1" s="72"/>
    </row>
    <row r="2" spans="1:2" ht="15" thickBot="1">
      <c r="A2" s="26" t="s">
        <v>1</v>
      </c>
      <c r="B2" s="26" t="s">
        <v>2</v>
      </c>
    </row>
    <row r="3" spans="1:2" ht="15" thickBot="1">
      <c r="A3" s="9" t="s">
        <v>3</v>
      </c>
      <c r="B3" s="6" t="s">
        <v>4</v>
      </c>
    </row>
    <row r="4" spans="1:2" ht="15" thickBot="1">
      <c r="A4" s="9" t="s">
        <v>5</v>
      </c>
      <c r="B4" s="6" t="s">
        <v>6</v>
      </c>
    </row>
    <row r="5" spans="1:2" ht="15" thickBot="1">
      <c r="A5" s="9" t="s">
        <v>7</v>
      </c>
      <c r="B5" s="6" t="s">
        <v>8</v>
      </c>
    </row>
    <row r="6" spans="1:2" ht="15" thickBot="1">
      <c r="A6" s="9" t="s">
        <v>9</v>
      </c>
      <c r="B6" s="6" t="s">
        <v>10</v>
      </c>
    </row>
    <row r="7" spans="1:2" ht="26.25" thickBot="1">
      <c r="A7" s="9" t="s">
        <v>11</v>
      </c>
      <c r="B7" s="6" t="s">
        <v>12</v>
      </c>
    </row>
    <row r="8" spans="1:2" ht="15" thickBot="1">
      <c r="A8" s="9" t="s">
        <v>13</v>
      </c>
      <c r="B8" s="6" t="s">
        <v>14</v>
      </c>
    </row>
    <row r="9" spans="1:2" ht="26.25" thickBot="1">
      <c r="A9" s="9" t="s">
        <v>15</v>
      </c>
      <c r="B9" s="6" t="s">
        <v>16</v>
      </c>
    </row>
    <row r="10" spans="1:2" ht="26.25" thickBot="1">
      <c r="A10" s="9" t="s">
        <v>17</v>
      </c>
      <c r="B10" s="6" t="s">
        <v>18</v>
      </c>
    </row>
    <row r="11" spans="1:2" ht="15" thickBot="1">
      <c r="A11" s="9" t="s">
        <v>19</v>
      </c>
      <c r="B11" s="6" t="s">
        <v>20</v>
      </c>
    </row>
    <row r="12" spans="1:2" ht="15" thickBot="1">
      <c r="A12" s="9" t="s">
        <v>21</v>
      </c>
      <c r="B12" s="6" t="s">
        <v>22</v>
      </c>
    </row>
    <row r="13" spans="1:2" ht="15" thickBot="1">
      <c r="A13" s="9" t="s">
        <v>23</v>
      </c>
      <c r="B13" s="6" t="s">
        <v>24</v>
      </c>
    </row>
    <row r="14" spans="1:2" ht="15" thickBot="1">
      <c r="A14" s="9" t="s">
        <v>25</v>
      </c>
      <c r="B14" s="6" t="s">
        <v>26</v>
      </c>
    </row>
    <row r="15" spans="1:2" ht="15" thickBot="1">
      <c r="A15" s="9" t="s">
        <v>27</v>
      </c>
      <c r="B15" s="6" t="s">
        <v>28</v>
      </c>
    </row>
    <row r="16" spans="1:2" ht="15" thickBot="1">
      <c r="A16" s="9" t="s">
        <v>29</v>
      </c>
      <c r="B16" s="6" t="s">
        <v>30</v>
      </c>
    </row>
    <row r="17" spans="1:2" ht="15" thickBot="1">
      <c r="A17" s="9" t="s">
        <v>31</v>
      </c>
      <c r="B17" s="6" t="s">
        <v>32</v>
      </c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27"/>
  <sheetViews>
    <sheetView topLeftCell="D13" zoomScaleNormal="100" workbookViewId="0">
      <selection activeCell="D13" sqref="D13"/>
    </sheetView>
  </sheetViews>
  <sheetFormatPr defaultColWidth="11.42578125" defaultRowHeight="14.25"/>
  <cols>
    <col min="1" max="1" width="42.140625" customWidth="1"/>
    <col min="2" max="2" width="16.42578125" customWidth="1"/>
    <col min="5" max="5" width="9.42578125" customWidth="1"/>
    <col min="6" max="6" width="30" customWidth="1"/>
    <col min="7" max="7" width="40.28515625" customWidth="1"/>
    <col min="8" max="8" width="13.42578125" customWidth="1"/>
    <col min="9" max="9" width="16.7109375" customWidth="1"/>
  </cols>
  <sheetData>
    <row r="1" spans="1:21" ht="15.75" thickBot="1">
      <c r="A1" s="71" t="s">
        <v>33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15"/>
    </row>
    <row r="2" spans="1:21" ht="15.75" thickBot="1">
      <c r="A2" s="76"/>
      <c r="B2" s="76"/>
      <c r="C2" s="76"/>
      <c r="F2" s="10" t="s">
        <v>34</v>
      </c>
      <c r="G2" s="11" t="s">
        <v>35</v>
      </c>
      <c r="H2" s="11" t="s">
        <v>36</v>
      </c>
      <c r="I2" s="11" t="s">
        <v>37</v>
      </c>
      <c r="J2" s="11" t="s">
        <v>38</v>
      </c>
      <c r="K2" s="11" t="s">
        <v>37</v>
      </c>
      <c r="L2" s="16"/>
      <c r="M2" s="1" t="s">
        <v>39</v>
      </c>
      <c r="N2" t="s">
        <v>40</v>
      </c>
    </row>
    <row r="3" spans="1:21" ht="15.75" thickBot="1">
      <c r="A3" s="4" t="s">
        <v>41</v>
      </c>
      <c r="B3" s="4" t="s">
        <v>42</v>
      </c>
      <c r="C3" s="4" t="s">
        <v>37</v>
      </c>
      <c r="F3" s="46" t="s">
        <v>43</v>
      </c>
      <c r="G3" s="3" t="s">
        <v>44</v>
      </c>
      <c r="H3" s="5">
        <v>600</v>
      </c>
      <c r="I3" s="5" t="s">
        <v>45</v>
      </c>
      <c r="J3" s="3">
        <f>B7/50*H3*B4*0.001</f>
        <v>43.2</v>
      </c>
      <c r="K3" s="3" t="s">
        <v>46</v>
      </c>
    </row>
    <row r="4" spans="1:21" ht="43.5" thickBot="1">
      <c r="A4" s="67" t="s">
        <v>47</v>
      </c>
      <c r="B4" s="67">
        <v>18</v>
      </c>
      <c r="C4" s="67" t="s">
        <v>48</v>
      </c>
      <c r="F4" s="46" t="s">
        <v>49</v>
      </c>
      <c r="G4" s="47" t="s">
        <v>50</v>
      </c>
      <c r="H4" s="67">
        <v>5730.75</v>
      </c>
      <c r="I4" s="5" t="s">
        <v>51</v>
      </c>
      <c r="J4" s="3">
        <f>(H4*B4)/12</f>
        <v>8596.125</v>
      </c>
      <c r="K4" s="3" t="s">
        <v>46</v>
      </c>
      <c r="M4" s="73"/>
      <c r="N4" s="73"/>
      <c r="O4" s="73"/>
      <c r="P4" s="73"/>
      <c r="Q4" s="73"/>
      <c r="R4" s="73"/>
      <c r="S4" s="73"/>
      <c r="T4" s="73"/>
      <c r="U4" s="73"/>
    </row>
    <row r="5" spans="1:21" ht="15" thickBot="1">
      <c r="M5" s="73"/>
      <c r="N5" s="73"/>
      <c r="O5" s="73"/>
      <c r="P5" s="73"/>
      <c r="Q5" s="73"/>
      <c r="R5" s="73"/>
      <c r="S5" s="73"/>
      <c r="T5" s="73"/>
      <c r="U5" s="73"/>
    </row>
    <row r="6" spans="1:21" ht="15.75" thickBot="1">
      <c r="A6" s="4" t="s">
        <v>41</v>
      </c>
      <c r="B6" s="4" t="s">
        <v>42</v>
      </c>
      <c r="C6" s="4" t="s">
        <v>37</v>
      </c>
      <c r="F6" s="7" t="s">
        <v>34</v>
      </c>
      <c r="G6" s="2" t="s">
        <v>52</v>
      </c>
      <c r="H6" s="1" t="s">
        <v>36</v>
      </c>
      <c r="I6" s="1" t="s">
        <v>37</v>
      </c>
      <c r="J6" s="1" t="s">
        <v>38</v>
      </c>
      <c r="K6" s="1" t="s">
        <v>37</v>
      </c>
      <c r="L6" s="68"/>
      <c r="M6" s="73"/>
      <c r="N6" s="73"/>
      <c r="O6" s="73"/>
      <c r="P6" s="73"/>
      <c r="Q6" s="73"/>
      <c r="R6" s="73"/>
      <c r="S6" s="73"/>
      <c r="T6" s="73"/>
      <c r="U6" s="73"/>
    </row>
    <row r="7" spans="1:21" ht="15" thickBot="1">
      <c r="A7" s="48" t="s">
        <v>3</v>
      </c>
      <c r="B7" s="49">
        <v>200</v>
      </c>
      <c r="C7" s="3" t="s">
        <v>53</v>
      </c>
      <c r="F7" s="70" t="s">
        <v>54</v>
      </c>
      <c r="G7" s="3" t="s">
        <v>55</v>
      </c>
      <c r="H7" s="3">
        <v>50</v>
      </c>
      <c r="I7" s="3" t="s">
        <v>56</v>
      </c>
      <c r="J7" s="3">
        <f>$B$7*H7*1000</f>
        <v>10000000</v>
      </c>
      <c r="K7" s="3" t="s">
        <v>57</v>
      </c>
      <c r="M7" s="73"/>
      <c r="N7" s="73"/>
      <c r="O7" s="73"/>
      <c r="P7" s="73"/>
      <c r="Q7" s="73"/>
      <c r="R7" s="73"/>
      <c r="S7" s="73"/>
      <c r="T7" s="73"/>
      <c r="U7" s="73"/>
    </row>
    <row r="8" spans="1:21" ht="15" thickBot="1">
      <c r="F8" s="70"/>
      <c r="G8" s="3" t="s">
        <v>58</v>
      </c>
      <c r="H8" s="3">
        <v>100</v>
      </c>
      <c r="I8" s="3" t="s">
        <v>56</v>
      </c>
      <c r="J8" s="3">
        <f t="shared" ref="J8:J10" si="0">$B$7*H8*1000</f>
        <v>20000000</v>
      </c>
      <c r="K8" s="3" t="s">
        <v>57</v>
      </c>
      <c r="M8" s="73"/>
      <c r="N8" s="73"/>
      <c r="O8" s="73"/>
      <c r="P8" s="73"/>
      <c r="Q8" s="73"/>
      <c r="R8" s="73"/>
      <c r="S8" s="73"/>
      <c r="T8" s="73"/>
      <c r="U8" s="73"/>
    </row>
    <row r="9" spans="1:21" ht="15" thickBot="1">
      <c r="F9" s="70"/>
      <c r="G9" s="3" t="s">
        <v>59</v>
      </c>
      <c r="H9" s="3">
        <v>4</v>
      </c>
      <c r="I9" s="3" t="s">
        <v>56</v>
      </c>
      <c r="J9" s="3">
        <f t="shared" si="0"/>
        <v>800000</v>
      </c>
      <c r="K9" s="3" t="s">
        <v>57</v>
      </c>
      <c r="M9" s="73"/>
      <c r="N9" s="73"/>
      <c r="O9" s="73"/>
      <c r="P9" s="73"/>
      <c r="Q9" s="73"/>
      <c r="R9" s="73"/>
      <c r="S9" s="73"/>
      <c r="T9" s="73"/>
      <c r="U9" s="73"/>
    </row>
    <row r="10" spans="1:21" ht="15" thickBot="1">
      <c r="F10" s="70"/>
      <c r="G10" s="3" t="s">
        <v>60</v>
      </c>
      <c r="H10" s="3">
        <v>30</v>
      </c>
      <c r="I10" s="3" t="s">
        <v>56</v>
      </c>
      <c r="J10" s="3">
        <f t="shared" si="0"/>
        <v>6000000</v>
      </c>
      <c r="K10" s="3" t="s">
        <v>57</v>
      </c>
      <c r="M10" s="73"/>
      <c r="N10" s="73"/>
      <c r="O10" s="73"/>
      <c r="P10" s="73"/>
      <c r="Q10" s="73"/>
      <c r="R10" s="73"/>
      <c r="S10" s="73"/>
      <c r="T10" s="73"/>
      <c r="U10" s="73"/>
    </row>
    <row r="11" spans="1:21">
      <c r="M11" s="73"/>
      <c r="N11" s="73"/>
      <c r="O11" s="73"/>
      <c r="P11" s="73"/>
      <c r="Q11" s="73"/>
      <c r="R11" s="73"/>
      <c r="S11" s="73"/>
      <c r="T11" s="73"/>
      <c r="U11" s="73"/>
    </row>
    <row r="12" spans="1:21" ht="15" thickBot="1">
      <c r="M12" s="73"/>
      <c r="N12" s="73"/>
      <c r="O12" s="73"/>
      <c r="P12" s="73"/>
      <c r="Q12" s="73"/>
      <c r="R12" s="73"/>
      <c r="S12" s="73"/>
      <c r="T12" s="73"/>
      <c r="U12" s="73"/>
    </row>
    <row r="13" spans="1:21" ht="15.75" thickBot="1">
      <c r="A13" s="1" t="s">
        <v>61</v>
      </c>
      <c r="B13" s="1" t="s">
        <v>42</v>
      </c>
      <c r="C13" s="2" t="s">
        <v>37</v>
      </c>
      <c r="F13" s="7" t="s">
        <v>34</v>
      </c>
      <c r="G13" s="2" t="s">
        <v>62</v>
      </c>
      <c r="H13" s="1" t="s">
        <v>36</v>
      </c>
      <c r="I13" s="1" t="s">
        <v>37</v>
      </c>
      <c r="J13" s="1" t="s">
        <v>38</v>
      </c>
      <c r="K13" s="1" t="s">
        <v>37</v>
      </c>
      <c r="L13" s="68"/>
      <c r="M13" s="73"/>
      <c r="N13" s="73"/>
      <c r="O13" s="73"/>
      <c r="P13" s="73"/>
      <c r="Q13" s="73"/>
      <c r="R13" s="73"/>
      <c r="S13" s="73"/>
      <c r="T13" s="73"/>
      <c r="U13" s="73"/>
    </row>
    <row r="14" spans="1:21" ht="15" thickBot="1">
      <c r="A14" s="3" t="s">
        <v>63</v>
      </c>
      <c r="B14" s="3">
        <f>4/100</f>
        <v>0.04</v>
      </c>
      <c r="C14" s="5" t="s">
        <v>64</v>
      </c>
      <c r="F14" s="70" t="s">
        <v>65</v>
      </c>
      <c r="G14" s="3" t="s">
        <v>63</v>
      </c>
      <c r="H14" s="3">
        <f>$B$18*B14</f>
        <v>1.3840000000000001</v>
      </c>
      <c r="I14" s="50" t="s">
        <v>57</v>
      </c>
      <c r="J14" s="3">
        <f>H14*$B$20</f>
        <v>553721.79200000002</v>
      </c>
      <c r="K14" s="3" t="s">
        <v>57</v>
      </c>
      <c r="M14" s="73"/>
      <c r="N14" s="73"/>
      <c r="O14" s="73"/>
      <c r="P14" s="73"/>
      <c r="Q14" s="73"/>
      <c r="R14" s="73"/>
      <c r="S14" s="73"/>
      <c r="T14" s="73"/>
      <c r="U14" s="73"/>
    </row>
    <row r="15" spans="1:21" ht="15" thickBot="1">
      <c r="A15" s="3" t="s">
        <v>66</v>
      </c>
      <c r="B15" s="3">
        <f>18/100</f>
        <v>0.18</v>
      </c>
      <c r="C15" s="5" t="s">
        <v>64</v>
      </c>
      <c r="F15" s="70"/>
      <c r="G15" s="3" t="s">
        <v>66</v>
      </c>
      <c r="H15" s="3">
        <f t="shared" ref="H15:H17" si="1">$B$18*B15</f>
        <v>6.2279999999999998</v>
      </c>
      <c r="I15" s="50" t="s">
        <v>57</v>
      </c>
      <c r="J15" s="3">
        <f t="shared" ref="J15:J17" si="2">H15*$B$20</f>
        <v>2491748.0639999998</v>
      </c>
      <c r="K15" s="3" t="s">
        <v>57</v>
      </c>
      <c r="M15" s="73"/>
      <c r="N15" s="73"/>
      <c r="O15" s="73"/>
      <c r="P15" s="73"/>
      <c r="Q15" s="73"/>
      <c r="R15" s="73"/>
      <c r="S15" s="73"/>
      <c r="T15" s="73"/>
      <c r="U15" s="73"/>
    </row>
    <row r="16" spans="1:21" ht="15" thickBot="1">
      <c r="A16" s="3" t="s">
        <v>67</v>
      </c>
      <c r="B16" s="3">
        <f>11/100</f>
        <v>0.11</v>
      </c>
      <c r="C16" s="5" t="s">
        <v>64</v>
      </c>
      <c r="F16" s="70"/>
      <c r="G16" s="3" t="s">
        <v>67</v>
      </c>
      <c r="H16" s="3">
        <f t="shared" si="1"/>
        <v>3.806</v>
      </c>
      <c r="I16" s="50" t="s">
        <v>57</v>
      </c>
      <c r="J16" s="3">
        <f t="shared" si="2"/>
        <v>1522734.9280000001</v>
      </c>
      <c r="K16" s="3" t="s">
        <v>57</v>
      </c>
      <c r="L16" s="8"/>
    </row>
    <row r="17" spans="1:21" ht="15.75" thickBot="1">
      <c r="A17" s="3" t="s">
        <v>68</v>
      </c>
      <c r="B17" s="3">
        <f>67/100</f>
        <v>0.67</v>
      </c>
      <c r="C17" s="5" t="s">
        <v>64</v>
      </c>
      <c r="F17" s="70"/>
      <c r="G17" s="3" t="s">
        <v>68</v>
      </c>
      <c r="H17" s="3">
        <f t="shared" si="1"/>
        <v>23.182000000000002</v>
      </c>
      <c r="I17" s="50" t="s">
        <v>57</v>
      </c>
      <c r="J17" s="3">
        <f t="shared" si="2"/>
        <v>9274840.0160000008</v>
      </c>
      <c r="K17" s="3" t="s">
        <v>57</v>
      </c>
      <c r="L17" s="17"/>
      <c r="M17" s="1" t="s">
        <v>39</v>
      </c>
      <c r="N17" s="14" t="s">
        <v>69</v>
      </c>
    </row>
    <row r="18" spans="1:21" ht="15" thickBot="1">
      <c r="A18" s="3" t="s">
        <v>70</v>
      </c>
      <c r="B18" s="3">
        <v>34.6</v>
      </c>
      <c r="C18" s="5" t="s">
        <v>57</v>
      </c>
      <c r="F18" s="51"/>
      <c r="G18" s="52"/>
      <c r="H18" s="53"/>
      <c r="I18" s="54"/>
      <c r="K18" s="53"/>
      <c r="L18" s="28"/>
    </row>
    <row r="19" spans="1:21" ht="15" thickBot="1">
      <c r="A19" s="3" t="s">
        <v>71</v>
      </c>
      <c r="B19" s="55">
        <f>2.46*1.13</f>
        <v>2.7797999999999998</v>
      </c>
      <c r="C19" s="67" t="s">
        <v>72</v>
      </c>
      <c r="F19" s="56"/>
      <c r="M19" s="73"/>
      <c r="N19" s="73"/>
      <c r="O19" s="73"/>
      <c r="P19" s="73"/>
      <c r="Q19" s="73"/>
      <c r="R19" s="73"/>
      <c r="S19" s="73"/>
      <c r="T19" s="73"/>
      <c r="U19" s="73"/>
    </row>
    <row r="20" spans="1:21" ht="15" thickBot="1">
      <c r="A20" s="57" t="s">
        <v>7</v>
      </c>
      <c r="B20" s="3">
        <v>400088</v>
      </c>
      <c r="C20" s="5"/>
      <c r="M20" s="73"/>
      <c r="N20" s="73"/>
      <c r="O20" s="73"/>
      <c r="P20" s="73"/>
      <c r="Q20" s="73"/>
      <c r="R20" s="73"/>
      <c r="S20" s="73"/>
      <c r="T20" s="73"/>
      <c r="U20" s="73"/>
    </row>
    <row r="21" spans="1:21">
      <c r="M21" s="73"/>
      <c r="N21" s="73"/>
      <c r="O21" s="73"/>
      <c r="P21" s="73"/>
      <c r="Q21" s="73"/>
      <c r="R21" s="73"/>
      <c r="S21" s="73"/>
      <c r="T21" s="73"/>
      <c r="U21" s="73"/>
    </row>
    <row r="22" spans="1:21" ht="15" thickBot="1">
      <c r="M22" s="73"/>
      <c r="N22" s="73"/>
      <c r="O22" s="73"/>
      <c r="P22" s="73"/>
      <c r="Q22" s="73"/>
      <c r="R22" s="73"/>
      <c r="S22" s="73"/>
      <c r="T22" s="73"/>
      <c r="U22" s="73"/>
    </row>
    <row r="23" spans="1:21" ht="15.75" thickBot="1">
      <c r="A23" s="2" t="s">
        <v>73</v>
      </c>
      <c r="B23" s="1" t="s">
        <v>42</v>
      </c>
      <c r="C23" s="2" t="s">
        <v>37</v>
      </c>
      <c r="F23" s="4" t="s">
        <v>34</v>
      </c>
      <c r="G23" s="1" t="s">
        <v>35</v>
      </c>
      <c r="H23" s="1" t="s">
        <v>36</v>
      </c>
      <c r="I23" s="1" t="s">
        <v>37</v>
      </c>
      <c r="J23" s="1" t="s">
        <v>38</v>
      </c>
      <c r="K23" s="1" t="s">
        <v>37</v>
      </c>
      <c r="L23" s="68"/>
      <c r="M23" s="73"/>
      <c r="N23" s="73"/>
      <c r="O23" s="73"/>
      <c r="P23" s="73"/>
      <c r="Q23" s="73"/>
      <c r="R23" s="73"/>
      <c r="S23" s="73"/>
      <c r="T23" s="73"/>
      <c r="U23" s="73"/>
    </row>
    <row r="24" spans="1:21" ht="15" thickBot="1">
      <c r="A24" s="3" t="s">
        <v>74</v>
      </c>
      <c r="B24" s="3">
        <v>366</v>
      </c>
      <c r="C24" s="3" t="s">
        <v>75</v>
      </c>
      <c r="F24" s="5" t="s">
        <v>76</v>
      </c>
      <c r="G24" s="5" t="s">
        <v>77</v>
      </c>
      <c r="H24" s="3">
        <f>B24*B25</f>
        <v>5066554396.8000002</v>
      </c>
      <c r="I24" s="3" t="s">
        <v>78</v>
      </c>
      <c r="J24" s="3">
        <f>H24/1000</f>
        <v>5066554.3968000002</v>
      </c>
      <c r="K24" s="5" t="s">
        <v>79</v>
      </c>
      <c r="L24" s="13"/>
      <c r="M24" s="73"/>
      <c r="N24" s="73"/>
      <c r="O24" s="73"/>
      <c r="P24" s="73"/>
      <c r="Q24" s="73"/>
      <c r="R24" s="73"/>
      <c r="S24" s="73"/>
      <c r="T24" s="73"/>
      <c r="U24" s="73"/>
    </row>
    <row r="25" spans="1:21" ht="15" thickBot="1">
      <c r="A25" s="3" t="s">
        <v>80</v>
      </c>
      <c r="B25" s="3">
        <f>B18*B20</f>
        <v>13843044.800000001</v>
      </c>
      <c r="C25" s="3" t="s">
        <v>57</v>
      </c>
      <c r="M25" s="73"/>
      <c r="N25" s="73"/>
      <c r="O25" s="73"/>
      <c r="P25" s="73"/>
      <c r="Q25" s="73"/>
      <c r="R25" s="73"/>
      <c r="S25" s="73"/>
      <c r="T25" s="73"/>
      <c r="U25" s="73"/>
    </row>
    <row r="26" spans="1:21">
      <c r="M26" s="73"/>
      <c r="N26" s="73"/>
      <c r="O26" s="73"/>
      <c r="P26" s="73"/>
      <c r="Q26" s="73"/>
      <c r="R26" s="73"/>
      <c r="S26" s="73"/>
      <c r="T26" s="73"/>
      <c r="U26" s="73"/>
    </row>
    <row r="27" spans="1:21">
      <c r="M27" s="73"/>
      <c r="N27" s="73"/>
      <c r="O27" s="73"/>
      <c r="P27" s="73"/>
      <c r="Q27" s="73"/>
      <c r="R27" s="73"/>
      <c r="S27" s="73"/>
      <c r="T27" s="73"/>
      <c r="U27" s="73"/>
    </row>
    <row r="28" spans="1:21" ht="15.75" thickBot="1">
      <c r="A28" s="74" t="s">
        <v>81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66"/>
      <c r="M28" s="73"/>
      <c r="N28" s="73"/>
      <c r="O28" s="73"/>
      <c r="P28" s="73"/>
      <c r="Q28" s="73"/>
      <c r="R28" s="73"/>
      <c r="S28" s="73"/>
      <c r="T28" s="73"/>
      <c r="U28" s="73"/>
    </row>
    <row r="29" spans="1:21" ht="15.75" thickBot="1">
      <c r="A29" s="4" t="s">
        <v>41</v>
      </c>
      <c r="B29" s="4" t="s">
        <v>42</v>
      </c>
      <c r="C29" s="4" t="s">
        <v>37</v>
      </c>
      <c r="F29" s="7" t="s">
        <v>82</v>
      </c>
      <c r="G29" s="1" t="s">
        <v>35</v>
      </c>
      <c r="H29" s="1" t="s">
        <v>36</v>
      </c>
      <c r="I29" s="1" t="s">
        <v>37</v>
      </c>
      <c r="J29" s="1" t="s">
        <v>38</v>
      </c>
      <c r="K29" s="1" t="s">
        <v>37</v>
      </c>
      <c r="L29" s="68"/>
      <c r="M29" s="73"/>
      <c r="N29" s="73"/>
      <c r="O29" s="73"/>
      <c r="P29" s="73"/>
      <c r="Q29" s="73"/>
      <c r="R29" s="73"/>
      <c r="S29" s="73"/>
      <c r="T29" s="73"/>
      <c r="U29" s="73"/>
    </row>
    <row r="30" spans="1:21" ht="43.5" thickBot="1">
      <c r="A30" s="67" t="s">
        <v>47</v>
      </c>
      <c r="B30" s="67">
        <v>282</v>
      </c>
      <c r="C30" s="67" t="s">
        <v>48</v>
      </c>
      <c r="F30" s="67" t="s">
        <v>49</v>
      </c>
      <c r="G30" s="62" t="s">
        <v>83</v>
      </c>
      <c r="H30" s="63">
        <v>1856.89</v>
      </c>
      <c r="I30" s="63" t="s">
        <v>84</v>
      </c>
      <c r="J30" s="46">
        <f>H30*B30/12</f>
        <v>43636.915000000001</v>
      </c>
      <c r="K30" s="46" t="s">
        <v>46</v>
      </c>
      <c r="M30" s="73"/>
      <c r="N30" s="73"/>
      <c r="O30" s="73"/>
      <c r="P30" s="73"/>
      <c r="Q30" s="73"/>
      <c r="R30" s="73"/>
      <c r="S30" s="73"/>
      <c r="T30" s="73"/>
      <c r="U30" s="73"/>
    </row>
    <row r="31" spans="1:21">
      <c r="F31" s="64"/>
      <c r="G31" s="64"/>
      <c r="H31" s="64"/>
      <c r="I31" s="64"/>
      <c r="J31" s="64"/>
      <c r="K31" s="64"/>
      <c r="M31" s="73"/>
      <c r="N31" s="73"/>
      <c r="O31" s="73"/>
      <c r="P31" s="73"/>
      <c r="Q31" s="73"/>
      <c r="R31" s="73"/>
      <c r="S31" s="73"/>
      <c r="T31" s="73"/>
      <c r="U31" s="73"/>
    </row>
    <row r="32" spans="1:21">
      <c r="M32" s="73"/>
      <c r="N32" s="73"/>
      <c r="O32" s="73"/>
      <c r="P32" s="73"/>
      <c r="Q32" s="73"/>
      <c r="R32" s="73"/>
      <c r="S32" s="73"/>
      <c r="T32" s="73"/>
      <c r="U32" s="73"/>
    </row>
    <row r="33" spans="1:21" ht="15.75" thickBot="1">
      <c r="A33" s="75" t="s">
        <v>85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66"/>
      <c r="M33" s="73"/>
      <c r="N33" s="73"/>
      <c r="O33" s="73"/>
      <c r="P33" s="73"/>
      <c r="Q33" s="73"/>
      <c r="R33" s="73"/>
      <c r="S33" s="73"/>
      <c r="T33" s="73"/>
      <c r="U33" s="73"/>
    </row>
    <row r="34" spans="1:21" ht="15.75" thickBot="1">
      <c r="A34" s="4" t="s">
        <v>41</v>
      </c>
      <c r="B34" s="4" t="s">
        <v>42</v>
      </c>
      <c r="C34" s="4" t="s">
        <v>37</v>
      </c>
      <c r="F34" s="4" t="s">
        <v>34</v>
      </c>
      <c r="G34" s="1" t="s">
        <v>35</v>
      </c>
      <c r="H34" s="1" t="s">
        <v>36</v>
      </c>
      <c r="I34" s="1" t="s">
        <v>37</v>
      </c>
      <c r="J34" s="1" t="s">
        <v>38</v>
      </c>
      <c r="K34" s="1" t="s">
        <v>37</v>
      </c>
      <c r="L34" s="68"/>
      <c r="M34" s="73"/>
      <c r="N34" s="73"/>
      <c r="O34" s="73"/>
      <c r="P34" s="73"/>
      <c r="Q34" s="73"/>
      <c r="R34" s="73"/>
      <c r="S34" s="73"/>
      <c r="T34" s="73"/>
      <c r="U34" s="73"/>
    </row>
    <row r="35" spans="1:21" ht="15" thickBot="1">
      <c r="A35" s="58" t="s">
        <v>47</v>
      </c>
      <c r="B35" s="59">
        <v>12</v>
      </c>
      <c r="C35" s="67" t="s">
        <v>48</v>
      </c>
      <c r="F35" s="5" t="s">
        <v>86</v>
      </c>
      <c r="G35" s="5" t="s">
        <v>87</v>
      </c>
      <c r="H35" s="3">
        <f>B36*B37</f>
        <v>4706635232</v>
      </c>
      <c r="I35" s="3" t="s">
        <v>78</v>
      </c>
      <c r="J35" s="3">
        <f>H35/1000</f>
        <v>4706635.2319999998</v>
      </c>
      <c r="K35" s="5" t="s">
        <v>79</v>
      </c>
      <c r="L35" s="13"/>
      <c r="M35" s="73"/>
      <c r="N35" s="73"/>
      <c r="O35" s="73"/>
      <c r="P35" s="73"/>
      <c r="Q35" s="73"/>
      <c r="R35" s="73"/>
      <c r="S35" s="73"/>
      <c r="T35" s="73"/>
      <c r="U35" s="73"/>
    </row>
    <row r="36" spans="1:21" ht="15" thickBot="1">
      <c r="A36" s="12" t="s">
        <v>88</v>
      </c>
      <c r="B36" s="3">
        <v>340</v>
      </c>
      <c r="C36" s="67" t="s">
        <v>75</v>
      </c>
      <c r="M36" s="73"/>
      <c r="N36" s="73"/>
      <c r="O36" s="73"/>
      <c r="P36" s="73"/>
      <c r="Q36" s="73"/>
      <c r="R36" s="73"/>
      <c r="S36" s="73"/>
      <c r="T36" s="73"/>
      <c r="U36" s="73"/>
    </row>
    <row r="37" spans="1:21" ht="15" thickBot="1">
      <c r="A37" s="12" t="s">
        <v>80</v>
      </c>
      <c r="B37" s="3">
        <f>B25</f>
        <v>13843044.800000001</v>
      </c>
      <c r="C37" s="3" t="s">
        <v>57</v>
      </c>
      <c r="M37" s="73"/>
      <c r="N37" s="73"/>
      <c r="O37" s="73"/>
      <c r="P37" s="73"/>
      <c r="Q37" s="73"/>
      <c r="R37" s="73"/>
      <c r="S37" s="73"/>
      <c r="T37" s="73"/>
      <c r="U37" s="73"/>
    </row>
    <row r="38" spans="1:21" ht="15.75" thickBot="1">
      <c r="F38" s="29" t="s">
        <v>34</v>
      </c>
      <c r="G38" s="30" t="s">
        <v>89</v>
      </c>
      <c r="H38" s="31" t="s">
        <v>42</v>
      </c>
      <c r="I38" s="31" t="s">
        <v>37</v>
      </c>
      <c r="J38" s="78" t="s">
        <v>90</v>
      </c>
      <c r="K38" s="79"/>
      <c r="L38" s="68"/>
      <c r="M38" s="73"/>
      <c r="N38" s="73"/>
      <c r="O38" s="73"/>
      <c r="P38" s="73"/>
      <c r="Q38" s="73"/>
      <c r="R38" s="73"/>
      <c r="S38" s="73"/>
      <c r="T38" s="73"/>
      <c r="U38" s="73"/>
    </row>
    <row r="39" spans="1:21" ht="15" thickBot="1">
      <c r="F39" s="77" t="s">
        <v>65</v>
      </c>
      <c r="G39" s="60" t="s">
        <v>91</v>
      </c>
      <c r="H39" s="60">
        <f>J10</f>
        <v>6000000</v>
      </c>
      <c r="I39" s="61" t="s">
        <v>57</v>
      </c>
      <c r="J39" s="80" t="s">
        <v>92</v>
      </c>
      <c r="K39" s="81"/>
      <c r="M39" s="73"/>
      <c r="N39" s="73"/>
      <c r="O39" s="73"/>
      <c r="P39" s="73"/>
      <c r="Q39" s="73"/>
      <c r="R39" s="73"/>
      <c r="S39" s="73"/>
      <c r="T39" s="73"/>
      <c r="U39" s="73"/>
    </row>
    <row r="40" spans="1:21" ht="15" thickBot="1">
      <c r="F40" s="77"/>
      <c r="G40" s="60" t="s">
        <v>93</v>
      </c>
      <c r="H40" s="60">
        <f>J15</f>
        <v>2491748.0639999998</v>
      </c>
      <c r="I40" s="61" t="s">
        <v>57</v>
      </c>
      <c r="J40" s="80" t="s">
        <v>92</v>
      </c>
      <c r="K40" s="81"/>
      <c r="M40" s="73"/>
      <c r="N40" s="73"/>
      <c r="O40" s="73"/>
      <c r="P40" s="73"/>
      <c r="Q40" s="73"/>
      <c r="R40" s="73"/>
      <c r="S40" s="73"/>
      <c r="T40" s="73"/>
      <c r="U40" s="73"/>
    </row>
    <row r="41" spans="1:21" ht="15" thickBot="1">
      <c r="F41" s="77"/>
      <c r="G41" s="60" t="s">
        <v>94</v>
      </c>
      <c r="H41" s="60">
        <f>J16</f>
        <v>1522734.9280000001</v>
      </c>
      <c r="I41" s="61" t="s">
        <v>57</v>
      </c>
      <c r="J41" s="80" t="s">
        <v>92</v>
      </c>
      <c r="K41" s="81"/>
      <c r="M41" s="73"/>
      <c r="N41" s="73"/>
      <c r="O41" s="73"/>
      <c r="P41" s="73"/>
      <c r="Q41" s="73"/>
      <c r="R41" s="73"/>
      <c r="S41" s="73"/>
      <c r="T41" s="73"/>
      <c r="U41" s="73"/>
    </row>
    <row r="42" spans="1:21" ht="15" thickBot="1">
      <c r="F42" s="77"/>
      <c r="G42" s="60" t="s">
        <v>95</v>
      </c>
      <c r="H42" s="60">
        <f>J17</f>
        <v>9274840.0160000008</v>
      </c>
      <c r="I42" s="61" t="s">
        <v>57</v>
      </c>
      <c r="J42" s="80" t="s">
        <v>92</v>
      </c>
      <c r="K42" s="81"/>
      <c r="M42" s="73"/>
      <c r="N42" s="73"/>
      <c r="O42" s="73"/>
      <c r="P42" s="73"/>
      <c r="Q42" s="73"/>
      <c r="R42" s="73"/>
      <c r="S42" s="73"/>
      <c r="T42" s="73"/>
      <c r="U42" s="73"/>
    </row>
    <row r="43" spans="1:21" ht="15" thickBot="1">
      <c r="F43" s="77"/>
      <c r="G43" s="60" t="s">
        <v>58</v>
      </c>
      <c r="H43" s="60">
        <f>J8</f>
        <v>20000000</v>
      </c>
      <c r="I43" s="60" t="s">
        <v>57</v>
      </c>
      <c r="J43" s="80" t="s">
        <v>92</v>
      </c>
      <c r="K43" s="81"/>
      <c r="M43" s="73"/>
      <c r="N43" s="73"/>
      <c r="O43" s="73"/>
      <c r="P43" s="73"/>
      <c r="Q43" s="73"/>
      <c r="R43" s="73"/>
      <c r="S43" s="73"/>
      <c r="T43" s="73"/>
      <c r="U43" s="73"/>
    </row>
    <row r="44" spans="1:21">
      <c r="M44" s="73"/>
      <c r="N44" s="73"/>
      <c r="O44" s="73"/>
      <c r="P44" s="73"/>
      <c r="Q44" s="73"/>
      <c r="R44" s="73"/>
      <c r="S44" s="73"/>
      <c r="T44" s="73"/>
      <c r="U44" s="73"/>
    </row>
    <row r="45" spans="1:21">
      <c r="M45" s="73"/>
      <c r="N45" s="73"/>
      <c r="O45" s="73"/>
      <c r="P45" s="73"/>
      <c r="Q45" s="73"/>
      <c r="R45" s="73"/>
      <c r="S45" s="73"/>
      <c r="T45" s="73"/>
      <c r="U45" s="73"/>
    </row>
    <row r="46" spans="1:21">
      <c r="M46" s="73"/>
      <c r="N46" s="73"/>
      <c r="O46" s="73"/>
      <c r="P46" s="73"/>
      <c r="Q46" s="73"/>
      <c r="R46" s="73"/>
      <c r="S46" s="73"/>
      <c r="T46" s="73"/>
      <c r="U46" s="73"/>
    </row>
    <row r="47" spans="1:21">
      <c r="M47" s="73"/>
      <c r="N47" s="73"/>
      <c r="O47" s="73"/>
      <c r="P47" s="73"/>
      <c r="Q47" s="73"/>
      <c r="R47" s="73"/>
      <c r="S47" s="73"/>
      <c r="T47" s="73"/>
      <c r="U47" s="73"/>
    </row>
    <row r="48" spans="1:21">
      <c r="M48" s="73"/>
      <c r="N48" s="73"/>
      <c r="O48" s="73"/>
      <c r="P48" s="73"/>
      <c r="Q48" s="73"/>
      <c r="R48" s="73"/>
      <c r="S48" s="73"/>
      <c r="T48" s="73"/>
      <c r="U48" s="73"/>
    </row>
    <row r="50" spans="13:21" ht="15" thickBot="1"/>
    <row r="51" spans="13:21" ht="15.75" thickBot="1">
      <c r="M51" s="1" t="s">
        <v>39</v>
      </c>
      <c r="N51" t="s">
        <v>40</v>
      </c>
    </row>
    <row r="53" spans="13:21">
      <c r="M53" s="73"/>
      <c r="N53" s="73"/>
      <c r="O53" s="73"/>
      <c r="P53" s="73"/>
      <c r="Q53" s="73"/>
      <c r="R53" s="73"/>
      <c r="S53" s="73"/>
      <c r="T53" s="73"/>
      <c r="U53" s="73"/>
    </row>
    <row r="54" spans="13:21">
      <c r="M54" s="73"/>
      <c r="N54" s="73"/>
      <c r="O54" s="73"/>
      <c r="P54" s="73"/>
      <c r="Q54" s="73"/>
      <c r="R54" s="73"/>
      <c r="S54" s="73"/>
      <c r="T54" s="73"/>
      <c r="U54" s="73"/>
    </row>
    <row r="55" spans="13:21">
      <c r="M55" s="73"/>
      <c r="N55" s="73"/>
      <c r="O55" s="73"/>
      <c r="P55" s="73"/>
      <c r="Q55" s="73"/>
      <c r="R55" s="73"/>
      <c r="S55" s="73"/>
      <c r="T55" s="73"/>
      <c r="U55" s="73"/>
    </row>
    <row r="56" spans="13:21">
      <c r="M56" s="73"/>
      <c r="N56" s="73"/>
      <c r="O56" s="73"/>
      <c r="P56" s="73"/>
      <c r="Q56" s="73"/>
      <c r="R56" s="73"/>
      <c r="S56" s="73"/>
      <c r="T56" s="73"/>
      <c r="U56" s="73"/>
    </row>
    <row r="57" spans="13:21">
      <c r="M57" s="73"/>
      <c r="N57" s="73"/>
      <c r="O57" s="73"/>
      <c r="P57" s="73"/>
      <c r="Q57" s="73"/>
      <c r="R57" s="73"/>
      <c r="S57" s="73"/>
      <c r="T57" s="73"/>
      <c r="U57" s="73"/>
    </row>
    <row r="58" spans="13:21">
      <c r="M58" s="73"/>
      <c r="N58" s="73"/>
      <c r="O58" s="73"/>
      <c r="P58" s="73"/>
      <c r="Q58" s="73"/>
      <c r="R58" s="73"/>
      <c r="S58" s="73"/>
      <c r="T58" s="73"/>
      <c r="U58" s="73"/>
    </row>
    <row r="59" spans="13:21">
      <c r="M59" s="73"/>
      <c r="N59" s="73"/>
      <c r="O59" s="73"/>
      <c r="P59" s="73"/>
      <c r="Q59" s="73"/>
      <c r="R59" s="73"/>
      <c r="S59" s="73"/>
      <c r="T59" s="73"/>
      <c r="U59" s="73"/>
    </row>
    <row r="60" spans="13:21">
      <c r="M60" s="73"/>
      <c r="N60" s="73"/>
      <c r="O60" s="73"/>
      <c r="P60" s="73"/>
      <c r="Q60" s="73"/>
      <c r="R60" s="73"/>
      <c r="S60" s="73"/>
      <c r="T60" s="73"/>
      <c r="U60" s="73"/>
    </row>
    <row r="61" spans="13:21">
      <c r="M61" s="73"/>
      <c r="N61" s="73"/>
      <c r="O61" s="73"/>
      <c r="P61" s="73"/>
      <c r="Q61" s="73"/>
      <c r="R61" s="73"/>
      <c r="S61" s="73"/>
      <c r="T61" s="73"/>
      <c r="U61" s="73"/>
    </row>
    <row r="62" spans="13:21">
      <c r="M62" s="73"/>
      <c r="N62" s="73"/>
      <c r="O62" s="73"/>
      <c r="P62" s="73"/>
      <c r="Q62" s="73"/>
      <c r="R62" s="73"/>
      <c r="S62" s="73"/>
      <c r="T62" s="73"/>
      <c r="U62" s="73"/>
    </row>
    <row r="63" spans="13:21">
      <c r="M63" s="73"/>
      <c r="N63" s="73"/>
      <c r="O63" s="73"/>
      <c r="P63" s="73"/>
      <c r="Q63" s="73"/>
      <c r="R63" s="73"/>
      <c r="S63" s="73"/>
      <c r="T63" s="73"/>
      <c r="U63" s="73"/>
    </row>
    <row r="64" spans="13:21">
      <c r="M64" s="73"/>
      <c r="N64" s="73"/>
      <c r="O64" s="73"/>
      <c r="P64" s="73"/>
      <c r="Q64" s="73"/>
      <c r="R64" s="73"/>
      <c r="S64" s="73"/>
      <c r="T64" s="73"/>
      <c r="U64" s="73"/>
    </row>
    <row r="65" spans="13:21">
      <c r="M65" s="73"/>
      <c r="N65" s="73"/>
      <c r="O65" s="73"/>
      <c r="P65" s="73"/>
      <c r="Q65" s="73"/>
      <c r="R65" s="73"/>
      <c r="S65" s="73"/>
      <c r="T65" s="73"/>
      <c r="U65" s="73"/>
    </row>
    <row r="66" spans="13:21">
      <c r="M66" s="73"/>
      <c r="N66" s="73"/>
      <c r="O66" s="73"/>
      <c r="P66" s="73"/>
      <c r="Q66" s="73"/>
      <c r="R66" s="73"/>
      <c r="S66" s="73"/>
      <c r="T66" s="73"/>
      <c r="U66" s="73"/>
    </row>
    <row r="68" spans="13:21" ht="15" thickBot="1"/>
    <row r="69" spans="13:21" ht="15.75" thickBot="1">
      <c r="M69" s="1" t="s">
        <v>39</v>
      </c>
      <c r="N69" t="s">
        <v>96</v>
      </c>
    </row>
    <row r="71" spans="13:21">
      <c r="M71" s="73"/>
      <c r="N71" s="73"/>
      <c r="O71" s="73"/>
      <c r="P71" s="73"/>
      <c r="Q71" s="73"/>
      <c r="R71" s="73"/>
      <c r="S71" s="73"/>
      <c r="T71" s="73"/>
      <c r="U71" s="73"/>
    </row>
    <row r="72" spans="13:21">
      <c r="M72" s="73"/>
      <c r="N72" s="73"/>
      <c r="O72" s="73"/>
      <c r="P72" s="73"/>
      <c r="Q72" s="73"/>
      <c r="R72" s="73"/>
      <c r="S72" s="73"/>
      <c r="T72" s="73"/>
      <c r="U72" s="73"/>
    </row>
    <row r="73" spans="13:21">
      <c r="M73" s="73"/>
      <c r="N73" s="73"/>
      <c r="O73" s="73"/>
      <c r="P73" s="73"/>
      <c r="Q73" s="73"/>
      <c r="R73" s="73"/>
      <c r="S73" s="73"/>
      <c r="T73" s="73"/>
      <c r="U73" s="73"/>
    </row>
    <row r="74" spans="13:21">
      <c r="M74" s="73"/>
      <c r="N74" s="73"/>
      <c r="O74" s="73"/>
      <c r="P74" s="73"/>
      <c r="Q74" s="73"/>
      <c r="R74" s="73"/>
      <c r="S74" s="73"/>
      <c r="T74" s="73"/>
      <c r="U74" s="73"/>
    </row>
    <row r="75" spans="13:21">
      <c r="M75" s="73"/>
      <c r="N75" s="73"/>
      <c r="O75" s="73"/>
      <c r="P75" s="73"/>
      <c r="Q75" s="73"/>
      <c r="R75" s="73"/>
      <c r="S75" s="73"/>
      <c r="T75" s="73"/>
      <c r="U75" s="73"/>
    </row>
    <row r="76" spans="13:21">
      <c r="M76" s="73"/>
      <c r="N76" s="73"/>
      <c r="O76" s="73"/>
      <c r="P76" s="73"/>
      <c r="Q76" s="73"/>
      <c r="R76" s="73"/>
      <c r="S76" s="73"/>
      <c r="T76" s="73"/>
      <c r="U76" s="73"/>
    </row>
    <row r="77" spans="13:21">
      <c r="M77" s="73"/>
      <c r="N77" s="73"/>
      <c r="O77" s="73"/>
      <c r="P77" s="73"/>
      <c r="Q77" s="73"/>
      <c r="R77" s="73"/>
      <c r="S77" s="73"/>
      <c r="T77" s="73"/>
      <c r="U77" s="73"/>
    </row>
    <row r="78" spans="13:21">
      <c r="M78" s="73"/>
      <c r="N78" s="73"/>
      <c r="O78" s="73"/>
      <c r="P78" s="73"/>
      <c r="Q78" s="73"/>
      <c r="R78" s="73"/>
      <c r="S78" s="73"/>
      <c r="T78" s="73"/>
      <c r="U78" s="73"/>
    </row>
    <row r="79" spans="13:21">
      <c r="M79" s="73"/>
      <c r="N79" s="73"/>
      <c r="O79" s="73"/>
      <c r="P79" s="73"/>
      <c r="Q79" s="73"/>
      <c r="R79" s="73"/>
      <c r="S79" s="73"/>
      <c r="T79" s="73"/>
      <c r="U79" s="73"/>
    </row>
    <row r="80" spans="13:21">
      <c r="M80" s="73"/>
      <c r="N80" s="73"/>
      <c r="O80" s="73"/>
      <c r="P80" s="73"/>
      <c r="Q80" s="73"/>
      <c r="R80" s="73"/>
      <c r="S80" s="73"/>
      <c r="T80" s="73"/>
      <c r="U80" s="73"/>
    </row>
    <row r="81" spans="13:21">
      <c r="M81" s="73"/>
      <c r="N81" s="73"/>
      <c r="O81" s="73"/>
      <c r="P81" s="73"/>
      <c r="Q81" s="73"/>
      <c r="R81" s="73"/>
      <c r="S81" s="73"/>
      <c r="T81" s="73"/>
      <c r="U81" s="73"/>
    </row>
    <row r="82" spans="13:21">
      <c r="M82" s="73"/>
      <c r="N82" s="73"/>
      <c r="O82" s="73"/>
      <c r="P82" s="73"/>
      <c r="Q82" s="73"/>
      <c r="R82" s="73"/>
      <c r="S82" s="73"/>
      <c r="T82" s="73"/>
      <c r="U82" s="73"/>
    </row>
    <row r="83" spans="13:21">
      <c r="M83" s="73"/>
      <c r="N83" s="73"/>
      <c r="O83" s="73"/>
      <c r="P83" s="73"/>
      <c r="Q83" s="73"/>
      <c r="R83" s="73"/>
      <c r="S83" s="73"/>
      <c r="T83" s="73"/>
      <c r="U83" s="73"/>
    </row>
    <row r="84" spans="13:21">
      <c r="M84" s="73"/>
      <c r="N84" s="73"/>
      <c r="O84" s="73"/>
      <c r="P84" s="73"/>
      <c r="Q84" s="73"/>
      <c r="R84" s="73"/>
      <c r="S84" s="73"/>
      <c r="T84" s="73"/>
      <c r="U84" s="73"/>
    </row>
    <row r="85" spans="13:21">
      <c r="M85" s="73"/>
      <c r="N85" s="73"/>
      <c r="O85" s="73"/>
      <c r="P85" s="73"/>
      <c r="Q85" s="73"/>
      <c r="R85" s="73"/>
      <c r="S85" s="73"/>
      <c r="T85" s="73"/>
      <c r="U85" s="73"/>
    </row>
    <row r="86" spans="13:21">
      <c r="M86" s="73"/>
      <c r="N86" s="73"/>
      <c r="O86" s="73"/>
      <c r="P86" s="73"/>
      <c r="Q86" s="73"/>
      <c r="R86" s="73"/>
      <c r="S86" s="73"/>
      <c r="T86" s="73"/>
      <c r="U86" s="73"/>
    </row>
    <row r="87" spans="13:21">
      <c r="M87" s="73"/>
      <c r="N87" s="73"/>
      <c r="O87" s="73"/>
      <c r="P87" s="73"/>
      <c r="Q87" s="73"/>
      <c r="R87" s="73"/>
      <c r="S87" s="73"/>
      <c r="T87" s="73"/>
      <c r="U87" s="73"/>
    </row>
    <row r="88" spans="13:21">
      <c r="M88" s="73"/>
      <c r="N88" s="73"/>
      <c r="O88" s="73"/>
      <c r="P88" s="73"/>
      <c r="Q88" s="73"/>
      <c r="R88" s="73"/>
      <c r="S88" s="73"/>
      <c r="T88" s="73"/>
      <c r="U88" s="73"/>
    </row>
    <row r="89" spans="13:21">
      <c r="M89" s="73"/>
      <c r="N89" s="73"/>
      <c r="O89" s="73"/>
      <c r="P89" s="73"/>
      <c r="Q89" s="73"/>
      <c r="R89" s="73"/>
      <c r="S89" s="73"/>
      <c r="T89" s="73"/>
      <c r="U89" s="73"/>
    </row>
    <row r="90" spans="13:21">
      <c r="M90" s="73"/>
      <c r="N90" s="73"/>
      <c r="O90" s="73"/>
      <c r="P90" s="73"/>
      <c r="Q90" s="73"/>
      <c r="R90" s="73"/>
      <c r="S90" s="73"/>
      <c r="T90" s="73"/>
      <c r="U90" s="73"/>
    </row>
    <row r="91" spans="13:21">
      <c r="M91" s="73"/>
      <c r="N91" s="73"/>
      <c r="O91" s="73"/>
      <c r="P91" s="73"/>
      <c r="Q91" s="73"/>
      <c r="R91" s="73"/>
      <c r="S91" s="73"/>
      <c r="T91" s="73"/>
      <c r="U91" s="73"/>
    </row>
    <row r="92" spans="13:21">
      <c r="M92" s="73"/>
      <c r="N92" s="73"/>
      <c r="O92" s="73"/>
      <c r="P92" s="73"/>
      <c r="Q92" s="73"/>
      <c r="R92" s="73"/>
      <c r="S92" s="73"/>
      <c r="T92" s="73"/>
      <c r="U92" s="73"/>
    </row>
    <row r="93" spans="13:21">
      <c r="M93" s="73"/>
      <c r="N93" s="73"/>
      <c r="O93" s="73"/>
      <c r="P93" s="73"/>
      <c r="Q93" s="73"/>
      <c r="R93" s="73"/>
      <c r="S93" s="73"/>
      <c r="T93" s="73"/>
      <c r="U93" s="73"/>
    </row>
    <row r="94" spans="13:21">
      <c r="M94" s="73"/>
      <c r="N94" s="73"/>
      <c r="O94" s="73"/>
      <c r="P94" s="73"/>
      <c r="Q94" s="73"/>
      <c r="R94" s="73"/>
      <c r="S94" s="73"/>
      <c r="T94" s="73"/>
      <c r="U94" s="73"/>
    </row>
    <row r="95" spans="13:21">
      <c r="M95" s="73"/>
      <c r="N95" s="73"/>
      <c r="O95" s="73"/>
      <c r="P95" s="73"/>
      <c r="Q95" s="73"/>
      <c r="R95" s="73"/>
      <c r="S95" s="73"/>
      <c r="T95" s="73"/>
      <c r="U95" s="73"/>
    </row>
    <row r="96" spans="13:21">
      <c r="M96" s="73"/>
      <c r="N96" s="73"/>
      <c r="O96" s="73"/>
      <c r="P96" s="73"/>
      <c r="Q96" s="73"/>
      <c r="R96" s="73"/>
      <c r="S96" s="73"/>
      <c r="T96" s="73"/>
      <c r="U96" s="73"/>
    </row>
    <row r="97" spans="13:21">
      <c r="M97" s="73"/>
      <c r="N97" s="73"/>
      <c r="O97" s="73"/>
      <c r="P97" s="73"/>
      <c r="Q97" s="73"/>
      <c r="R97" s="73"/>
      <c r="S97" s="73"/>
      <c r="T97" s="73"/>
      <c r="U97" s="73"/>
    </row>
    <row r="98" spans="13:21">
      <c r="M98" s="73"/>
      <c r="N98" s="73"/>
      <c r="O98" s="73"/>
      <c r="P98" s="73"/>
      <c r="Q98" s="73"/>
      <c r="R98" s="73"/>
      <c r="S98" s="73"/>
      <c r="T98" s="73"/>
      <c r="U98" s="73"/>
    </row>
    <row r="99" spans="13:21">
      <c r="M99" s="73"/>
      <c r="N99" s="73"/>
      <c r="O99" s="73"/>
      <c r="P99" s="73"/>
      <c r="Q99" s="73"/>
      <c r="R99" s="73"/>
      <c r="S99" s="73"/>
      <c r="T99" s="73"/>
      <c r="U99" s="73"/>
    </row>
    <row r="100" spans="13:21">
      <c r="M100" s="73"/>
      <c r="N100" s="73"/>
      <c r="O100" s="73"/>
      <c r="P100" s="73"/>
      <c r="Q100" s="73"/>
      <c r="R100" s="73"/>
      <c r="S100" s="73"/>
      <c r="T100" s="73"/>
      <c r="U100" s="73"/>
    </row>
    <row r="101" spans="13:21">
      <c r="M101" s="73"/>
      <c r="N101" s="73"/>
      <c r="O101" s="73"/>
      <c r="P101" s="73"/>
      <c r="Q101" s="73"/>
      <c r="R101" s="73"/>
      <c r="S101" s="73"/>
      <c r="T101" s="73"/>
      <c r="U101" s="73"/>
    </row>
    <row r="102" spans="13:21">
      <c r="M102" s="73"/>
      <c r="N102" s="73"/>
      <c r="O102" s="73"/>
      <c r="P102" s="73"/>
      <c r="Q102" s="73"/>
      <c r="R102" s="73"/>
      <c r="S102" s="73"/>
      <c r="T102" s="73"/>
      <c r="U102" s="73"/>
    </row>
    <row r="103" spans="13:21">
      <c r="M103" s="73"/>
      <c r="N103" s="73"/>
      <c r="O103" s="73"/>
      <c r="P103" s="73"/>
      <c r="Q103" s="73"/>
      <c r="R103" s="73"/>
      <c r="S103" s="73"/>
      <c r="T103" s="73"/>
      <c r="U103" s="73"/>
    </row>
    <row r="104" spans="13:21">
      <c r="M104" s="73"/>
      <c r="N104" s="73"/>
      <c r="O104" s="73"/>
      <c r="P104" s="73"/>
      <c r="Q104" s="73"/>
      <c r="R104" s="73"/>
      <c r="S104" s="73"/>
      <c r="T104" s="73"/>
      <c r="U104" s="73"/>
    </row>
    <row r="105" spans="13:21">
      <c r="M105" s="73"/>
      <c r="N105" s="73"/>
      <c r="O105" s="73"/>
      <c r="P105" s="73"/>
      <c r="Q105" s="73"/>
      <c r="R105" s="73"/>
      <c r="S105" s="73"/>
      <c r="T105" s="73"/>
      <c r="U105" s="73"/>
    </row>
    <row r="106" spans="13:21">
      <c r="M106" s="73"/>
      <c r="N106" s="73"/>
      <c r="O106" s="73"/>
      <c r="P106" s="73"/>
      <c r="Q106" s="73"/>
      <c r="R106" s="73"/>
      <c r="S106" s="73"/>
      <c r="T106" s="73"/>
      <c r="U106" s="73"/>
    </row>
    <row r="107" spans="13:21">
      <c r="M107" s="73"/>
      <c r="N107" s="73"/>
      <c r="O107" s="73"/>
      <c r="P107" s="73"/>
      <c r="Q107" s="73"/>
      <c r="R107" s="73"/>
      <c r="S107" s="73"/>
      <c r="T107" s="73"/>
      <c r="U107" s="73"/>
    </row>
    <row r="108" spans="13:21">
      <c r="M108" s="73"/>
      <c r="N108" s="73"/>
      <c r="O108" s="73"/>
      <c r="P108" s="73"/>
      <c r="Q108" s="73"/>
      <c r="R108" s="73"/>
      <c r="S108" s="73"/>
      <c r="T108" s="73"/>
      <c r="U108" s="73"/>
    </row>
    <row r="109" spans="13:21">
      <c r="M109" s="73"/>
      <c r="N109" s="73"/>
      <c r="O109" s="73"/>
      <c r="P109" s="73"/>
      <c r="Q109" s="73"/>
      <c r="R109" s="73"/>
      <c r="S109" s="73"/>
      <c r="T109" s="73"/>
      <c r="U109" s="73"/>
    </row>
    <row r="110" spans="13:21">
      <c r="M110" s="73"/>
      <c r="N110" s="73"/>
      <c r="O110" s="73"/>
      <c r="P110" s="73"/>
      <c r="Q110" s="73"/>
      <c r="R110" s="73"/>
      <c r="S110" s="73"/>
      <c r="T110" s="73"/>
      <c r="U110" s="73"/>
    </row>
    <row r="111" spans="13:21">
      <c r="M111" s="73"/>
      <c r="N111" s="73"/>
      <c r="O111" s="73"/>
      <c r="P111" s="73"/>
      <c r="Q111" s="73"/>
      <c r="R111" s="73"/>
      <c r="S111" s="73"/>
      <c r="T111" s="73"/>
      <c r="U111" s="73"/>
    </row>
    <row r="112" spans="13:21">
      <c r="M112" s="73"/>
      <c r="N112" s="73"/>
      <c r="O112" s="73"/>
      <c r="P112" s="73"/>
      <c r="Q112" s="73"/>
      <c r="R112" s="73"/>
      <c r="S112" s="73"/>
      <c r="T112" s="73"/>
      <c r="U112" s="73"/>
    </row>
    <row r="113" spans="13:21">
      <c r="M113" s="73"/>
      <c r="N113" s="73"/>
      <c r="O113" s="73"/>
      <c r="P113" s="73"/>
      <c r="Q113" s="73"/>
      <c r="R113" s="73"/>
      <c r="S113" s="73"/>
      <c r="T113" s="73"/>
      <c r="U113" s="73"/>
    </row>
    <row r="114" spans="13:21">
      <c r="M114" s="73"/>
      <c r="N114" s="73"/>
      <c r="O114" s="73"/>
      <c r="P114" s="73"/>
      <c r="Q114" s="73"/>
      <c r="R114" s="73"/>
      <c r="S114" s="73"/>
      <c r="T114" s="73"/>
      <c r="U114" s="73"/>
    </row>
    <row r="115" spans="13:21">
      <c r="M115" s="73"/>
      <c r="N115" s="73"/>
      <c r="O115" s="73"/>
      <c r="P115" s="73"/>
      <c r="Q115" s="73"/>
      <c r="R115" s="73"/>
      <c r="S115" s="73"/>
      <c r="T115" s="73"/>
      <c r="U115" s="73"/>
    </row>
    <row r="116" spans="13:21">
      <c r="M116" s="73"/>
      <c r="N116" s="73"/>
      <c r="O116" s="73"/>
      <c r="P116" s="73"/>
      <c r="Q116" s="73"/>
      <c r="R116" s="73"/>
      <c r="S116" s="73"/>
      <c r="T116" s="73"/>
      <c r="U116" s="73"/>
    </row>
    <row r="117" spans="13:21">
      <c r="M117" s="73"/>
      <c r="N117" s="73"/>
      <c r="O117" s="73"/>
      <c r="P117" s="73"/>
      <c r="Q117" s="73"/>
      <c r="R117" s="73"/>
      <c r="S117" s="73"/>
      <c r="T117" s="73"/>
      <c r="U117" s="73"/>
    </row>
    <row r="118" spans="13:21">
      <c r="M118" s="73"/>
      <c r="N118" s="73"/>
      <c r="O118" s="73"/>
      <c r="P118" s="73"/>
      <c r="Q118" s="73"/>
      <c r="R118" s="73"/>
      <c r="S118" s="73"/>
      <c r="T118" s="73"/>
      <c r="U118" s="73"/>
    </row>
    <row r="119" spans="13:21">
      <c r="M119" s="73"/>
      <c r="N119" s="73"/>
      <c r="O119" s="73"/>
      <c r="P119" s="73"/>
      <c r="Q119" s="73"/>
      <c r="R119" s="73"/>
      <c r="S119" s="73"/>
      <c r="T119" s="73"/>
      <c r="U119" s="73"/>
    </row>
    <row r="120" spans="13:21">
      <c r="M120" s="73"/>
      <c r="N120" s="73"/>
      <c r="O120" s="73"/>
      <c r="P120" s="73"/>
      <c r="Q120" s="73"/>
      <c r="R120" s="73"/>
      <c r="S120" s="73"/>
      <c r="T120" s="73"/>
      <c r="U120" s="73"/>
    </row>
    <row r="121" spans="13:21">
      <c r="M121" s="73"/>
      <c r="N121" s="73"/>
      <c r="O121" s="73"/>
      <c r="P121" s="73"/>
      <c r="Q121" s="73"/>
      <c r="R121" s="73"/>
      <c r="S121" s="73"/>
      <c r="T121" s="73"/>
      <c r="U121" s="73"/>
    </row>
    <row r="122" spans="13:21">
      <c r="M122" s="73"/>
      <c r="N122" s="73"/>
      <c r="O122" s="73"/>
      <c r="P122" s="73"/>
      <c r="Q122" s="73"/>
      <c r="R122" s="73"/>
      <c r="S122" s="73"/>
      <c r="T122" s="73"/>
      <c r="U122" s="73"/>
    </row>
    <row r="123" spans="13:21">
      <c r="M123" s="73"/>
      <c r="N123" s="73"/>
      <c r="O123" s="73"/>
      <c r="P123" s="73"/>
      <c r="Q123" s="73"/>
      <c r="R123" s="73"/>
      <c r="S123" s="73"/>
      <c r="T123" s="73"/>
      <c r="U123" s="73"/>
    </row>
    <row r="124" spans="13:21">
      <c r="M124" s="73"/>
      <c r="N124" s="73"/>
      <c r="O124" s="73"/>
      <c r="P124" s="73"/>
      <c r="Q124" s="73"/>
      <c r="R124" s="73"/>
      <c r="S124" s="73"/>
      <c r="T124" s="73"/>
      <c r="U124" s="73"/>
    </row>
    <row r="125" spans="13:21">
      <c r="M125" s="73"/>
      <c r="N125" s="73"/>
      <c r="O125" s="73"/>
      <c r="P125" s="73"/>
      <c r="Q125" s="73"/>
      <c r="R125" s="73"/>
      <c r="S125" s="73"/>
      <c r="T125" s="73"/>
      <c r="U125" s="73"/>
    </row>
    <row r="126" spans="13:21">
      <c r="M126" s="73"/>
      <c r="N126" s="73"/>
      <c r="O126" s="73"/>
      <c r="P126" s="73"/>
      <c r="Q126" s="73"/>
      <c r="R126" s="73"/>
      <c r="S126" s="73"/>
      <c r="T126" s="73"/>
      <c r="U126" s="73"/>
    </row>
    <row r="127" spans="13:21">
      <c r="M127" s="73"/>
      <c r="N127" s="73"/>
      <c r="O127" s="73"/>
      <c r="P127" s="73"/>
      <c r="Q127" s="73"/>
      <c r="R127" s="73"/>
      <c r="S127" s="73"/>
      <c r="T127" s="73"/>
      <c r="U127" s="73"/>
    </row>
  </sheetData>
  <mergeCells count="17">
    <mergeCell ref="J43:K43"/>
    <mergeCell ref="M4:U15"/>
    <mergeCell ref="M19:U48"/>
    <mergeCell ref="M53:U66"/>
    <mergeCell ref="M71:U127"/>
    <mergeCell ref="A1:K1"/>
    <mergeCell ref="A28:K28"/>
    <mergeCell ref="A33:K33"/>
    <mergeCell ref="F14:F17"/>
    <mergeCell ref="A2:C2"/>
    <mergeCell ref="F7:F10"/>
    <mergeCell ref="F39:F43"/>
    <mergeCell ref="J38:K38"/>
    <mergeCell ref="J39:K39"/>
    <mergeCell ref="J40:K40"/>
    <mergeCell ref="J41:K41"/>
    <mergeCell ref="J42:K42"/>
  </mergeCells>
  <pageMargins left="0.25" right="0.25" top="0.75" bottom="0.75" header="0.3" footer="0.3"/>
  <pageSetup paperSize="8" scale="37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1"/>
  <sheetViews>
    <sheetView zoomScale="85" zoomScaleNormal="85" workbookViewId="0">
      <selection activeCell="Z32" sqref="Z32"/>
    </sheetView>
  </sheetViews>
  <sheetFormatPr defaultColWidth="11.42578125" defaultRowHeight="14.25"/>
  <cols>
    <col min="2" max="2" width="22.5703125" customWidth="1"/>
    <col min="4" max="4" width="73.85546875" customWidth="1"/>
    <col min="5" max="5" width="13.42578125" bestFit="1" customWidth="1"/>
    <col min="6" max="6" width="11.5703125" bestFit="1" customWidth="1"/>
    <col min="7" max="8" width="23.42578125" customWidth="1"/>
  </cols>
  <sheetData>
    <row r="1" spans="1:11" ht="15.75" thickBot="1">
      <c r="J1" s="3" t="s">
        <v>39</v>
      </c>
      <c r="K1" s="32" t="s">
        <v>97</v>
      </c>
    </row>
    <row r="2" spans="1:11" ht="15.75" thickBot="1">
      <c r="A2" s="82" t="s">
        <v>98</v>
      </c>
      <c r="B2" s="83"/>
      <c r="C2" s="83"/>
      <c r="D2" s="83"/>
      <c r="E2" s="83"/>
      <c r="F2" s="83"/>
      <c r="G2" s="83"/>
      <c r="H2" s="68"/>
      <c r="K2" s="33" t="s">
        <v>99</v>
      </c>
    </row>
    <row r="3" spans="1:11" ht="15.75" thickBot="1">
      <c r="A3" s="18" t="s">
        <v>100</v>
      </c>
      <c r="B3" s="19" t="s">
        <v>101</v>
      </c>
      <c r="C3" s="19" t="s">
        <v>37</v>
      </c>
      <c r="D3" s="19" t="s">
        <v>102</v>
      </c>
      <c r="E3" s="19" t="s">
        <v>42</v>
      </c>
      <c r="F3" s="19" t="s">
        <v>103</v>
      </c>
      <c r="G3" s="19" t="s">
        <v>104</v>
      </c>
      <c r="H3" s="19" t="s">
        <v>105</v>
      </c>
    </row>
    <row r="4" spans="1:11" ht="14.45" customHeight="1" thickBot="1">
      <c r="A4" s="84" t="s">
        <v>106</v>
      </c>
      <c r="B4" s="20" t="s">
        <v>49</v>
      </c>
      <c r="C4" s="5" t="s">
        <v>57</v>
      </c>
      <c r="D4" s="12" t="s">
        <v>107</v>
      </c>
      <c r="E4" s="67">
        <f>'2. Cálculo de Cantidades '!J4*1000</f>
        <v>8596125</v>
      </c>
      <c r="F4" s="67">
        <v>2.5999999999999999E-2</v>
      </c>
      <c r="G4" s="67">
        <f>E4*F4</f>
        <v>223499.25</v>
      </c>
      <c r="H4" s="88">
        <f>SUM(G4:G14)</f>
        <v>9202958350.434</v>
      </c>
    </row>
    <row r="5" spans="1:11" ht="15" thickBot="1">
      <c r="A5" s="84"/>
      <c r="B5" s="21" t="s">
        <v>43</v>
      </c>
      <c r="C5" s="5" t="s">
        <v>57</v>
      </c>
      <c r="D5" s="12" t="s">
        <v>108</v>
      </c>
      <c r="E5" s="67">
        <f>'2. Cálculo de Cantidades '!J3*860</f>
        <v>37152</v>
      </c>
      <c r="F5" s="67">
        <v>180</v>
      </c>
      <c r="G5" s="67">
        <f t="shared" ref="G5:G21" si="0">E5*F5</f>
        <v>6687360</v>
      </c>
      <c r="H5" s="89"/>
    </row>
    <row r="6" spans="1:11" ht="15" thickBot="1">
      <c r="A6" s="84"/>
      <c r="B6" s="21" t="s">
        <v>55</v>
      </c>
      <c r="C6" s="5" t="s">
        <v>57</v>
      </c>
      <c r="D6" s="12" t="s">
        <v>109</v>
      </c>
      <c r="E6" s="67">
        <f>'2. Cálculo de Cantidades '!J7</f>
        <v>10000000</v>
      </c>
      <c r="F6" s="67">
        <v>3.8</v>
      </c>
      <c r="G6" s="67">
        <f t="shared" si="0"/>
        <v>38000000</v>
      </c>
      <c r="H6" s="89"/>
    </row>
    <row r="7" spans="1:11" ht="15" thickBot="1">
      <c r="A7" s="84"/>
      <c r="B7" s="21" t="s">
        <v>58</v>
      </c>
      <c r="C7" s="5" t="s">
        <v>57</v>
      </c>
      <c r="D7" s="12" t="s">
        <v>110</v>
      </c>
      <c r="E7" s="67">
        <f>'2. Cálculo de Cantidades '!J8</f>
        <v>20000000</v>
      </c>
      <c r="F7" s="67">
        <v>86</v>
      </c>
      <c r="G7" s="67">
        <f t="shared" si="0"/>
        <v>1720000000</v>
      </c>
      <c r="H7" s="89"/>
    </row>
    <row r="8" spans="1:11" ht="17.45" customHeight="1" thickBot="1">
      <c r="A8" s="84"/>
      <c r="B8" s="22" t="s">
        <v>111</v>
      </c>
      <c r="C8" s="22" t="s">
        <v>57</v>
      </c>
      <c r="D8" s="12" t="s">
        <v>112</v>
      </c>
      <c r="E8" s="67">
        <f>'2. Cálculo de Cantidades '!J9</f>
        <v>800000</v>
      </c>
      <c r="F8" s="67">
        <v>1400</v>
      </c>
      <c r="G8" s="67">
        <f t="shared" si="0"/>
        <v>1120000000</v>
      </c>
      <c r="H8" s="89"/>
    </row>
    <row r="9" spans="1:11" ht="14.45" customHeight="1" thickBot="1">
      <c r="A9" s="84"/>
      <c r="B9" s="22" t="s">
        <v>60</v>
      </c>
      <c r="C9" s="22" t="s">
        <v>57</v>
      </c>
      <c r="D9" s="25" t="s">
        <v>113</v>
      </c>
      <c r="E9" s="67">
        <f>'2. Cálculo de Cantidades '!J10</f>
        <v>6000000</v>
      </c>
      <c r="F9" s="67">
        <v>780</v>
      </c>
      <c r="G9" s="67">
        <f t="shared" si="0"/>
        <v>4680000000</v>
      </c>
      <c r="H9" s="89"/>
    </row>
    <row r="10" spans="1:11" ht="15" thickBot="1">
      <c r="A10" s="84"/>
      <c r="B10" s="22" t="s">
        <v>114</v>
      </c>
      <c r="C10" s="22" t="s">
        <v>57</v>
      </c>
      <c r="D10" s="25" t="s">
        <v>115</v>
      </c>
      <c r="E10" s="67">
        <f>'2. Cálculo de Cantidades '!J14</f>
        <v>553721.79200000002</v>
      </c>
      <c r="F10" s="67">
        <v>60</v>
      </c>
      <c r="G10" s="67">
        <f t="shared" si="0"/>
        <v>33223307.52</v>
      </c>
      <c r="H10" s="89"/>
    </row>
    <row r="11" spans="1:11" ht="15" thickBot="1">
      <c r="A11" s="84"/>
      <c r="B11" s="22" t="s">
        <v>116</v>
      </c>
      <c r="C11" s="22" t="s">
        <v>57</v>
      </c>
      <c r="D11" s="12" t="s">
        <v>117</v>
      </c>
      <c r="E11" s="67">
        <f>'2. Cálculo de Cantidades '!J15</f>
        <v>2491748.0639999998</v>
      </c>
      <c r="F11" s="67">
        <v>86</v>
      </c>
      <c r="G11" s="67">
        <f t="shared" si="0"/>
        <v>214290333.50399998</v>
      </c>
      <c r="H11" s="89"/>
    </row>
    <row r="12" spans="1:11" ht="29.25" thickBot="1">
      <c r="A12" s="84"/>
      <c r="B12" s="22" t="s">
        <v>118</v>
      </c>
      <c r="C12" s="22" t="s">
        <v>57</v>
      </c>
      <c r="D12" s="23" t="s">
        <v>119</v>
      </c>
      <c r="E12" s="67">
        <f>'2. Cálculo de Cantidades '!J16</f>
        <v>1522734.9280000001</v>
      </c>
      <c r="F12" s="67">
        <v>510</v>
      </c>
      <c r="G12" s="67">
        <f t="shared" si="0"/>
        <v>776594813.28000009</v>
      </c>
      <c r="H12" s="89"/>
    </row>
    <row r="13" spans="1:11" ht="15" thickBot="1">
      <c r="A13" s="84"/>
      <c r="B13" s="22" t="s">
        <v>120</v>
      </c>
      <c r="C13" s="22" t="s">
        <v>57</v>
      </c>
      <c r="D13" s="25" t="s">
        <v>121</v>
      </c>
      <c r="E13" s="67">
        <f>'2. Cálculo de Cantidades '!J17</f>
        <v>9274840.0160000008</v>
      </c>
      <c r="F13" s="67">
        <v>58</v>
      </c>
      <c r="G13" s="67">
        <f t="shared" si="0"/>
        <v>537940720.92800009</v>
      </c>
      <c r="H13" s="89"/>
    </row>
    <row r="14" spans="1:11" ht="29.25" thickBot="1">
      <c r="A14" s="84"/>
      <c r="B14" s="21" t="s">
        <v>122</v>
      </c>
      <c r="C14" s="67" t="s">
        <v>79</v>
      </c>
      <c r="D14" s="23" t="s">
        <v>123</v>
      </c>
      <c r="E14" s="67">
        <f>'2. Cálculo de Cantidades '!J24</f>
        <v>5066554.3968000002</v>
      </c>
      <c r="F14" s="67">
        <v>15</v>
      </c>
      <c r="G14" s="67">
        <f t="shared" si="0"/>
        <v>75998315.952000007</v>
      </c>
      <c r="H14" s="90"/>
    </row>
    <row r="15" spans="1:11" ht="66" customHeight="1" thickBot="1">
      <c r="A15" s="69" t="s">
        <v>124</v>
      </c>
      <c r="B15" s="21" t="s">
        <v>49</v>
      </c>
      <c r="C15" s="67" t="s">
        <v>57</v>
      </c>
      <c r="D15" s="23" t="s">
        <v>125</v>
      </c>
      <c r="E15" s="67">
        <f>'2. Cálculo de Cantidades '!J30*1000</f>
        <v>43636915</v>
      </c>
      <c r="F15" s="67">
        <v>2.5999999999999999E-2</v>
      </c>
      <c r="G15" s="67">
        <f t="shared" si="0"/>
        <v>1134559.79</v>
      </c>
      <c r="H15" s="24">
        <f>G15</f>
        <v>1134559.79</v>
      </c>
    </row>
    <row r="16" spans="1:11" ht="28.9" customHeight="1" thickBot="1">
      <c r="A16" s="85" t="s">
        <v>126</v>
      </c>
      <c r="B16" s="21" t="s">
        <v>87</v>
      </c>
      <c r="C16" s="67" t="s">
        <v>79</v>
      </c>
      <c r="D16" s="25" t="s">
        <v>127</v>
      </c>
      <c r="E16" s="67">
        <f>'2. Cálculo de Cantidades '!J35</f>
        <v>4706635.2319999998</v>
      </c>
      <c r="F16" s="67">
        <v>15</v>
      </c>
      <c r="G16" s="67">
        <f>E16*F16</f>
        <v>70599528.480000004</v>
      </c>
      <c r="H16" s="88">
        <f>SUM(G16:G21)</f>
        <v>-6328401818.96</v>
      </c>
    </row>
    <row r="17" spans="1:8" ht="14.45" customHeight="1" thickBot="1">
      <c r="A17" s="86"/>
      <c r="B17" s="22" t="s">
        <v>58</v>
      </c>
      <c r="C17" s="22" t="s">
        <v>57</v>
      </c>
      <c r="D17" s="25" t="s">
        <v>92</v>
      </c>
      <c r="E17" s="67">
        <f>E7</f>
        <v>20000000</v>
      </c>
      <c r="F17" s="67">
        <v>-70</v>
      </c>
      <c r="G17" s="67">
        <f>E17*F17</f>
        <v>-1400000000</v>
      </c>
      <c r="H17" s="89"/>
    </row>
    <row r="18" spans="1:8" ht="15" thickBot="1">
      <c r="A18" s="86"/>
      <c r="B18" s="22" t="s">
        <v>93</v>
      </c>
      <c r="C18" s="22" t="s">
        <v>57</v>
      </c>
      <c r="D18" s="12" t="s">
        <v>92</v>
      </c>
      <c r="E18" s="67">
        <f>'2. Cálculo de Cantidades '!H40</f>
        <v>2491748.0639999998</v>
      </c>
      <c r="F18" s="67">
        <v>-70</v>
      </c>
      <c r="G18" s="67">
        <f t="shared" si="0"/>
        <v>-174422364.47999999</v>
      </c>
      <c r="H18" s="89"/>
    </row>
    <row r="19" spans="1:8" ht="15" thickBot="1">
      <c r="A19" s="86"/>
      <c r="B19" s="22" t="s">
        <v>118</v>
      </c>
      <c r="C19" s="5" t="s">
        <v>57</v>
      </c>
      <c r="D19" s="23" t="s">
        <v>92</v>
      </c>
      <c r="E19" s="67">
        <f>'2. Cálculo de Cantidades '!H41</f>
        <v>1522734.9280000001</v>
      </c>
      <c r="F19" s="67">
        <v>-240</v>
      </c>
      <c r="G19" s="67">
        <f t="shared" si="0"/>
        <v>-365456382.72000003</v>
      </c>
      <c r="H19" s="89"/>
    </row>
    <row r="20" spans="1:8" ht="15" thickBot="1">
      <c r="A20" s="86"/>
      <c r="B20" s="22" t="s">
        <v>120</v>
      </c>
      <c r="C20" s="22" t="s">
        <v>57</v>
      </c>
      <c r="D20" s="25" t="s">
        <v>92</v>
      </c>
      <c r="E20" s="67">
        <f>'2. Cálculo de Cantidades '!H42</f>
        <v>9274840.0160000008</v>
      </c>
      <c r="F20" s="67">
        <v>-15</v>
      </c>
      <c r="G20" s="67">
        <f t="shared" si="0"/>
        <v>-139122600.24000001</v>
      </c>
      <c r="H20" s="89"/>
    </row>
    <row r="21" spans="1:8" ht="15" thickBot="1">
      <c r="A21" s="87"/>
      <c r="B21" s="22" t="s">
        <v>60</v>
      </c>
      <c r="C21" s="5" t="s">
        <v>57</v>
      </c>
      <c r="D21" s="25" t="s">
        <v>92</v>
      </c>
      <c r="E21" s="67">
        <f>E9</f>
        <v>6000000</v>
      </c>
      <c r="F21" s="67">
        <v>-720</v>
      </c>
      <c r="G21" s="67">
        <f t="shared" si="0"/>
        <v>-4320000000</v>
      </c>
      <c r="H21" s="90"/>
    </row>
  </sheetData>
  <mergeCells count="5">
    <mergeCell ref="A2:G2"/>
    <mergeCell ref="A4:A14"/>
    <mergeCell ref="A16:A21"/>
    <mergeCell ref="H4:H14"/>
    <mergeCell ref="H16:H21"/>
  </mergeCells>
  <hyperlinks>
    <hyperlink ref="K2" r:id="rId1" display="https://pre-sustainability.com/articles/eco-indicator-99-manuals/" xr:uid="{00000000-0004-0000-0200-000000000000}"/>
  </hyperlinks>
  <pageMargins left="0.25" right="0.25" top="0.75" bottom="0.75" header="0.3" footer="0.3"/>
  <pageSetup paperSize="8" scale="95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tabSelected="1" workbookViewId="0">
      <selection activeCell="C13" sqref="C13"/>
    </sheetView>
  </sheetViews>
  <sheetFormatPr defaultColWidth="11.42578125" defaultRowHeight="14.25"/>
  <cols>
    <col min="1" max="1" width="14.140625" customWidth="1"/>
    <col min="2" max="2" width="12" bestFit="1" customWidth="1"/>
  </cols>
  <sheetData>
    <row r="1" spans="1:3" ht="15.75" thickBot="1">
      <c r="A1" s="71" t="s">
        <v>128</v>
      </c>
      <c r="B1" s="71"/>
      <c r="C1" s="71"/>
    </row>
    <row r="2" spans="1:3" ht="15.75" thickBot="1">
      <c r="A2" s="65" t="s">
        <v>34</v>
      </c>
      <c r="B2" s="65" t="s">
        <v>42</v>
      </c>
      <c r="C2" s="65" t="s">
        <v>37</v>
      </c>
    </row>
    <row r="3" spans="1:3" ht="15" thickBot="1">
      <c r="A3" s="3" t="s">
        <v>129</v>
      </c>
      <c r="B3" s="3">
        <v>25</v>
      </c>
      <c r="C3" s="3" t="s">
        <v>130</v>
      </c>
    </row>
    <row r="4" spans="1:3" ht="15" thickBot="1">
      <c r="A4" s="70" t="s">
        <v>131</v>
      </c>
      <c r="B4" s="27">
        <v>396.8</v>
      </c>
      <c r="C4" s="5" t="s">
        <v>132</v>
      </c>
    </row>
    <row r="5" spans="1:3" ht="15" thickBot="1">
      <c r="A5" s="70"/>
      <c r="B5" s="3">
        <f>B4*1000</f>
        <v>396800</v>
      </c>
      <c r="C5" s="3" t="s">
        <v>133</v>
      </c>
    </row>
    <row r="6" spans="1:3" ht="15" thickBot="1">
      <c r="A6" s="3" t="s">
        <v>134</v>
      </c>
      <c r="B6" s="3">
        <f>B3*B5*1000</f>
        <v>9920000000</v>
      </c>
      <c r="C6" s="3" t="s">
        <v>135</v>
      </c>
    </row>
    <row r="7" spans="1:3" ht="15" thickBot="1">
      <c r="A7" s="3" t="s">
        <v>136</v>
      </c>
      <c r="B7" s="3">
        <f>SUM('3. Inventario'!H4:H21)</f>
        <v>2875691091.2640009</v>
      </c>
      <c r="C7" s="3" t="s">
        <v>137</v>
      </c>
    </row>
    <row r="8" spans="1:3" ht="15.75" thickBot="1">
      <c r="A8" s="34" t="s">
        <v>138</v>
      </c>
      <c r="B8" s="35">
        <f>B7/B6</f>
        <v>0.28988821484516136</v>
      </c>
      <c r="C8" s="35" t="s">
        <v>139</v>
      </c>
    </row>
  </sheetData>
  <mergeCells count="2">
    <mergeCell ref="A4:A5"/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="40" zoomScaleNormal="40" workbookViewId="0">
      <selection activeCell="AR137" sqref="AR137"/>
    </sheetView>
  </sheetViews>
  <sheetFormatPr defaultColWidth="11.42578125" defaultRowHeight="14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"/>
  <sheetViews>
    <sheetView workbookViewId="0">
      <selection activeCell="C17" sqref="C17"/>
    </sheetView>
  </sheetViews>
  <sheetFormatPr defaultColWidth="8.85546875" defaultRowHeight="14.25"/>
  <cols>
    <col min="1" max="2" width="2.85546875" style="36" customWidth="1"/>
    <col min="3" max="3" width="97.42578125" style="36" customWidth="1"/>
    <col min="4" max="4" width="24.85546875" style="36" customWidth="1"/>
    <col min="5" max="5" width="14.85546875" style="36" customWidth="1"/>
    <col min="6" max="7" width="24.85546875" style="36" customWidth="1"/>
    <col min="8" max="16384" width="8.85546875" style="36"/>
  </cols>
  <sheetData>
    <row r="1" spans="1:7" ht="15">
      <c r="A1" s="37" t="s">
        <v>140</v>
      </c>
    </row>
    <row r="2" spans="1:7" ht="15.75" thickBot="1">
      <c r="A2" s="37" t="s">
        <v>141</v>
      </c>
      <c r="D2" s="37" t="s">
        <v>142</v>
      </c>
      <c r="E2" s="37" t="s">
        <v>143</v>
      </c>
      <c r="F2" s="37" t="s">
        <v>144</v>
      </c>
      <c r="G2" s="37" t="s">
        <v>145</v>
      </c>
    </row>
    <row r="3" spans="1:7" ht="15.75" thickBot="1">
      <c r="A3" s="43" t="s">
        <v>146</v>
      </c>
      <c r="C3" s="42"/>
      <c r="D3" s="44">
        <v>3.6</v>
      </c>
      <c r="E3" s="41" t="s">
        <v>147</v>
      </c>
      <c r="F3" s="45">
        <v>5.3562860775466563E-2</v>
      </c>
      <c r="G3" s="40"/>
    </row>
    <row r="4" spans="1:7">
      <c r="B4" s="38" t="s">
        <v>148</v>
      </c>
      <c r="C4" s="39"/>
      <c r="D4" s="39">
        <v>1E-3</v>
      </c>
      <c r="E4" s="39" t="s">
        <v>149</v>
      </c>
      <c r="F4" s="39">
        <v>4.0410034930289815E-2</v>
      </c>
      <c r="G4" s="39">
        <v>4.6882461135476256E-4</v>
      </c>
    </row>
    <row r="5" spans="1:7">
      <c r="B5" s="38"/>
      <c r="C5" s="38" t="s">
        <v>150</v>
      </c>
      <c r="D5" s="38">
        <v>1.0113926590965001E-4</v>
      </c>
      <c r="E5" s="38" t="s">
        <v>149</v>
      </c>
      <c r="F5" s="38">
        <v>3.9941210318935057E-2</v>
      </c>
      <c r="G5" s="38">
        <v>3.9941210318935043E-2</v>
      </c>
    </row>
    <row r="6" spans="1:7">
      <c r="B6" s="38" t="s">
        <v>151</v>
      </c>
      <c r="C6" s="38"/>
      <c r="D6" s="38">
        <v>5.9999999999999995E-4</v>
      </c>
      <c r="E6" s="38" t="s">
        <v>149</v>
      </c>
      <c r="F6" s="38">
        <v>7.1859705915696247E-3</v>
      </c>
      <c r="G6" s="38">
        <v>1.9371677775821363E-3</v>
      </c>
    </row>
    <row r="7" spans="1:7">
      <c r="B7" s="38"/>
      <c r="C7" s="38" t="s">
        <v>150</v>
      </c>
      <c r="D7" s="38">
        <v>1.329103598194002E-5</v>
      </c>
      <c r="E7" s="38" t="s">
        <v>149</v>
      </c>
      <c r="F7" s="38">
        <v>5.2488028139874889E-3</v>
      </c>
      <c r="G7" s="38">
        <v>5.2488028139874871E-3</v>
      </c>
    </row>
    <row r="8" spans="1:7">
      <c r="B8" s="38" t="s">
        <v>152</v>
      </c>
      <c r="C8" s="38"/>
      <c r="D8" s="38">
        <v>3.2000000000000002E-3</v>
      </c>
      <c r="E8" s="38" t="s">
        <v>149</v>
      </c>
      <c r="F8" s="38">
        <v>5.1197189214052304E-3</v>
      </c>
      <c r="G8" s="38">
        <v>5.1197189214052313E-3</v>
      </c>
    </row>
    <row r="9" spans="1:7">
      <c r="B9" s="38" t="s">
        <v>150</v>
      </c>
      <c r="C9" s="38"/>
      <c r="D9" s="38">
        <v>9.3000000000000005E-4</v>
      </c>
      <c r="E9" s="38" t="s">
        <v>149</v>
      </c>
      <c r="F9" s="38">
        <v>7.3527740769313934E-4</v>
      </c>
      <c r="G9" s="38">
        <v>7.3527740769313923E-4</v>
      </c>
    </row>
    <row r="10" spans="1:7">
      <c r="B10" s="38" t="s">
        <v>153</v>
      </c>
      <c r="C10" s="38"/>
      <c r="D10" s="38">
        <v>8.0000000000000007E-5</v>
      </c>
      <c r="E10" s="38" t="s">
        <v>149</v>
      </c>
      <c r="F10" s="38">
        <v>6.9068148030917721E-5</v>
      </c>
      <c r="G10" s="38">
        <v>6.9068148030917707E-5</v>
      </c>
    </row>
    <row r="11" spans="1:7">
      <c r="B11" s="38" t="s">
        <v>154</v>
      </c>
      <c r="C11" s="38"/>
      <c r="D11" s="38">
        <v>5.3E-3</v>
      </c>
      <c r="E11" s="38" t="s">
        <v>149</v>
      </c>
      <c r="F11" s="38">
        <v>3.0274904664216415E-5</v>
      </c>
      <c r="G11" s="38">
        <v>3.0274904664216422E-5</v>
      </c>
    </row>
    <row r="12" spans="1:7">
      <c r="B12" s="38" t="s">
        <v>155</v>
      </c>
      <c r="C12" s="38"/>
      <c r="D12" s="38">
        <v>8.9999999999999998E-4</v>
      </c>
      <c r="E12" s="38" t="s">
        <v>156</v>
      </c>
      <c r="F12" s="38">
        <v>2.9397585076058497E-5</v>
      </c>
      <c r="G12" s="38">
        <v>2.4693992625605957E-5</v>
      </c>
    </row>
    <row r="13" spans="1:7">
      <c r="B13" s="38"/>
      <c r="C13" s="38" t="s">
        <v>150</v>
      </c>
      <c r="D13" s="38">
        <v>1.1910452481992429E-8</v>
      </c>
      <c r="E13" s="38" t="s">
        <v>149</v>
      </c>
      <c r="F13" s="38">
        <v>4.7035924504525397E-6</v>
      </c>
      <c r="G13" s="38">
        <v>4.703592450452538E-6</v>
      </c>
    </row>
    <row r="14" spans="1:7">
      <c r="B14" s="38" t="s">
        <v>157</v>
      </c>
      <c r="C14" s="38"/>
      <c r="D14" s="38">
        <v>3.0000000000000001E-6</v>
      </c>
      <c r="E14" s="38" t="s">
        <v>149</v>
      </c>
      <c r="F14" s="38">
        <v>4.6825038798091535E-6</v>
      </c>
      <c r="G14" s="38">
        <v>1.4520284216689573E-6</v>
      </c>
    </row>
    <row r="15" spans="1:7">
      <c r="B15" s="38"/>
      <c r="C15" s="38" t="s">
        <v>150</v>
      </c>
      <c r="D15" s="38">
        <v>8.1802207235704805E-9</v>
      </c>
      <c r="E15" s="38" t="s">
        <v>149</v>
      </c>
      <c r="F15" s="38">
        <v>3.2304754581401953E-6</v>
      </c>
      <c r="G15" s="38">
        <v>3.2304754581401941E-6</v>
      </c>
    </row>
    <row r="16" spans="1:7">
      <c r="B16" s="38" t="s">
        <v>158</v>
      </c>
      <c r="C16" s="38"/>
      <c r="D16" s="38">
        <v>1.4999999999999999E-4</v>
      </c>
      <c r="E16" s="38" t="s">
        <v>149</v>
      </c>
      <c r="F16" s="38">
        <v>-2.1564217142258193E-5</v>
      </c>
      <c r="G16" s="38">
        <v>2.4901593295458989E-4</v>
      </c>
    </row>
    <row r="17" spans="2:7">
      <c r="B17" s="38"/>
      <c r="C17" s="38" t="s">
        <v>159</v>
      </c>
      <c r="D17" s="38">
        <v>-1.0256248499999999E-6</v>
      </c>
      <c r="E17" s="38" t="s">
        <v>149</v>
      </c>
      <c r="F17" s="38">
        <v>-2.7058015009684806E-4</v>
      </c>
      <c r="G17" s="38">
        <v>-2.7058015009684801E-4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MUZHA YUNGA</dc:creator>
  <cp:keywords/>
  <dc:description/>
  <cp:lastModifiedBy>Joel Jaramillo Idrobo</cp:lastModifiedBy>
  <cp:revision/>
  <dcterms:created xsi:type="dcterms:W3CDTF">2026-03-24T04:00:56Z</dcterms:created>
  <dcterms:modified xsi:type="dcterms:W3CDTF">2026-07-21T09:06:09Z</dcterms:modified>
  <cp:category/>
  <cp:contentStatus/>
</cp:coreProperties>
</file>