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onelgobec-my.sharepoint.com/personal/gabriela_moreno_arconel_gob_ec/Documents/Escritorio/ARCONEL 1/RENDICION DE CUENTAS 2025/"/>
    </mc:Choice>
  </mc:AlternateContent>
  <xr:revisionPtr revIDLastSave="0" documentId="8_{58DAB03A-BE7D-4ABE-9A42-F2E53ABFA3DC}" xr6:coauthVersionLast="47" xr6:coauthVersionMax="47" xr10:uidLastSave="{00000000-0000-0000-0000-000000000000}"/>
  <bookViews>
    <workbookView xWindow="-120" yWindow="-120" windowWidth="20730" windowHeight="11160" xr2:uid="{4CA65C49-BE9D-4B6F-A26B-9B6B70A03199}"/>
  </bookViews>
  <sheets>
    <sheet name="Hoja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4" i="1" l="1"/>
  <c r="I353" i="1"/>
  <c r="G353" i="1"/>
  <c r="I352" i="1"/>
  <c r="G352" i="1"/>
  <c r="I351" i="1"/>
  <c r="G351" i="1"/>
  <c r="I350" i="1"/>
  <c r="G350" i="1"/>
  <c r="I349" i="1"/>
  <c r="G349" i="1"/>
  <c r="I348" i="1"/>
  <c r="G348" i="1"/>
  <c r="I347" i="1"/>
  <c r="I346" i="1"/>
  <c r="I345" i="1"/>
  <c r="G345" i="1"/>
  <c r="G344" i="1"/>
  <c r="G343" i="1"/>
  <c r="G342" i="1"/>
  <c r="I339" i="1"/>
  <c r="G339" i="1"/>
  <c r="I338" i="1"/>
  <c r="G338" i="1"/>
  <c r="I337" i="1"/>
  <c r="G337" i="1"/>
  <c r="I336" i="1"/>
  <c r="G336" i="1"/>
  <c r="I335" i="1"/>
  <c r="G335" i="1"/>
  <c r="I334" i="1"/>
  <c r="G334" i="1"/>
  <c r="I333" i="1"/>
  <c r="G333" i="1"/>
  <c r="I332" i="1"/>
  <c r="G332" i="1"/>
  <c r="I331" i="1"/>
  <c r="I330" i="1"/>
  <c r="I329" i="1"/>
  <c r="I328" i="1"/>
  <c r="I327" i="1"/>
  <c r="G327" i="1"/>
  <c r="I326" i="1"/>
  <c r="G326" i="1"/>
  <c r="I325" i="1"/>
  <c r="G325" i="1"/>
  <c r="I324" i="1"/>
  <c r="G324" i="1"/>
  <c r="I323" i="1"/>
  <c r="G323" i="1"/>
  <c r="I322" i="1"/>
  <c r="G322" i="1"/>
  <c r="I321" i="1"/>
  <c r="G321" i="1"/>
  <c r="I320" i="1"/>
  <c r="G320" i="1"/>
  <c r="I319" i="1"/>
  <c r="G319" i="1"/>
  <c r="I318" i="1"/>
  <c r="G318" i="1"/>
  <c r="I317" i="1"/>
  <c r="G317" i="1"/>
  <c r="I316" i="1"/>
  <c r="G316" i="1"/>
  <c r="I315" i="1"/>
  <c r="G315" i="1"/>
  <c r="I314" i="1"/>
  <c r="G314" i="1"/>
  <c r="G313" i="1"/>
  <c r="I312" i="1"/>
  <c r="G312" i="1"/>
  <c r="I311" i="1"/>
  <c r="G311" i="1"/>
  <c r="I310" i="1"/>
  <c r="G310" i="1"/>
  <c r="V309" i="1"/>
  <c r="I309" i="1"/>
  <c r="G309" i="1"/>
  <c r="I308" i="1"/>
  <c r="G308" i="1"/>
  <c r="V307" i="1"/>
  <c r="I307" i="1"/>
  <c r="G307" i="1"/>
  <c r="I306" i="1"/>
  <c r="G306" i="1"/>
  <c r="I305" i="1"/>
  <c r="G305" i="1"/>
  <c r="I304" i="1"/>
  <c r="G304" i="1"/>
  <c r="G303" i="1"/>
  <c r="X302" i="1"/>
  <c r="W302" i="1"/>
  <c r="V302" i="1"/>
  <c r="U302" i="1"/>
  <c r="T302" i="1"/>
  <c r="S302" i="1"/>
  <c r="I302" i="1"/>
  <c r="G302" i="1"/>
  <c r="I301" i="1"/>
  <c r="G301" i="1"/>
  <c r="G300" i="1"/>
  <c r="I299" i="1"/>
  <c r="G299" i="1"/>
  <c r="S298" i="1"/>
  <c r="I298" i="1"/>
  <c r="G298" i="1"/>
  <c r="I297" i="1"/>
  <c r="G297" i="1"/>
  <c r="I296" i="1"/>
  <c r="R295" i="1"/>
  <c r="I295" i="1"/>
  <c r="G295" i="1"/>
  <c r="I294" i="1"/>
  <c r="G294" i="1"/>
  <c r="I293" i="1"/>
  <c r="G293" i="1"/>
  <c r="I292" i="1"/>
  <c r="G292" i="1"/>
  <c r="I291" i="1"/>
  <c r="G291" i="1"/>
  <c r="I290" i="1"/>
  <c r="G290" i="1"/>
  <c r="I289" i="1"/>
  <c r="G289" i="1"/>
  <c r="I288" i="1"/>
  <c r="G288" i="1"/>
  <c r="I287" i="1"/>
  <c r="G287" i="1"/>
  <c r="I286" i="1"/>
  <c r="G286" i="1"/>
  <c r="I285" i="1"/>
  <c r="G285" i="1"/>
  <c r="I284" i="1"/>
  <c r="G284" i="1"/>
  <c r="I283" i="1"/>
  <c r="G283" i="1"/>
  <c r="I282" i="1"/>
  <c r="G282" i="1"/>
  <c r="I281" i="1"/>
  <c r="G281" i="1"/>
  <c r="I280" i="1"/>
  <c r="G280" i="1"/>
  <c r="I279" i="1"/>
  <c r="G279" i="1"/>
  <c r="I278" i="1"/>
  <c r="G278" i="1"/>
  <c r="I277" i="1"/>
  <c r="G277" i="1"/>
  <c r="I276" i="1"/>
  <c r="G276" i="1"/>
  <c r="I275" i="1"/>
  <c r="G275" i="1"/>
  <c r="I274" i="1"/>
  <c r="G274" i="1"/>
  <c r="I273" i="1"/>
  <c r="G273" i="1"/>
  <c r="I272" i="1"/>
  <c r="G272" i="1"/>
  <c r="I271" i="1"/>
  <c r="G271" i="1"/>
  <c r="I270" i="1"/>
  <c r="G270" i="1"/>
  <c r="V269" i="1"/>
  <c r="I269" i="1"/>
  <c r="G269" i="1"/>
  <c r="I268" i="1"/>
  <c r="P267" i="1"/>
  <c r="I267" i="1"/>
  <c r="G267" i="1"/>
  <c r="P266" i="1"/>
  <c r="I266" i="1"/>
  <c r="G266" i="1"/>
  <c r="I265" i="1"/>
  <c r="G265" i="1"/>
  <c r="I264" i="1"/>
  <c r="G264" i="1"/>
  <c r="I263" i="1"/>
  <c r="G263" i="1"/>
  <c r="I262" i="1"/>
  <c r="G262" i="1"/>
  <c r="I261" i="1"/>
  <c r="G261" i="1"/>
  <c r="R260" i="1"/>
  <c r="I260" i="1"/>
  <c r="G260" i="1"/>
  <c r="I259" i="1"/>
  <c r="G259" i="1"/>
  <c r="I258" i="1"/>
  <c r="G258" i="1"/>
  <c r="I257" i="1"/>
  <c r="G257" i="1"/>
  <c r="I256" i="1"/>
  <c r="G256" i="1"/>
  <c r="I255" i="1"/>
  <c r="G255" i="1"/>
  <c r="I254" i="1"/>
  <c r="G254" i="1"/>
  <c r="I253" i="1"/>
  <c r="G253" i="1"/>
  <c r="I252" i="1"/>
  <c r="G252" i="1"/>
  <c r="I251" i="1"/>
  <c r="G251" i="1"/>
  <c r="W250" i="1"/>
  <c r="V250" i="1"/>
  <c r="T250" i="1"/>
  <c r="S250" i="1"/>
  <c r="R250" i="1"/>
  <c r="O250" i="1"/>
  <c r="I250" i="1"/>
  <c r="G250" i="1"/>
  <c r="I249" i="1"/>
  <c r="G249" i="1"/>
  <c r="I248" i="1"/>
  <c r="G248" i="1"/>
  <c r="W247" i="1"/>
  <c r="I247" i="1"/>
  <c r="G247" i="1"/>
  <c r="I246" i="1"/>
  <c r="G246" i="1"/>
  <c r="I245" i="1"/>
  <c r="G245" i="1"/>
  <c r="I244" i="1"/>
  <c r="G244" i="1"/>
  <c r="I243" i="1"/>
  <c r="G243" i="1"/>
  <c r="I242" i="1"/>
  <c r="G242" i="1"/>
  <c r="I241" i="1"/>
  <c r="G241" i="1"/>
  <c r="I240" i="1"/>
  <c r="G240" i="1"/>
  <c r="I239" i="1"/>
  <c r="G239" i="1"/>
  <c r="I238" i="1"/>
  <c r="G238" i="1"/>
  <c r="I237" i="1"/>
  <c r="G237" i="1"/>
  <c r="I236" i="1"/>
  <c r="G236" i="1"/>
  <c r="I235" i="1"/>
  <c r="G235" i="1"/>
  <c r="I234" i="1"/>
  <c r="G234" i="1"/>
  <c r="I233" i="1"/>
  <c r="G233" i="1"/>
  <c r="I232" i="1"/>
  <c r="G232" i="1"/>
  <c r="I231" i="1"/>
  <c r="G231" i="1"/>
  <c r="I230" i="1"/>
  <c r="G230" i="1"/>
  <c r="I229" i="1"/>
  <c r="G229" i="1"/>
  <c r="W228" i="1"/>
  <c r="V228" i="1"/>
  <c r="T228" i="1"/>
  <c r="R228" i="1"/>
  <c r="Q228" i="1"/>
  <c r="I228" i="1"/>
  <c r="G228" i="1"/>
  <c r="I227" i="1"/>
  <c r="G227" i="1"/>
  <c r="I226" i="1"/>
  <c r="G226" i="1"/>
  <c r="I225" i="1"/>
  <c r="G225" i="1"/>
  <c r="I224" i="1"/>
  <c r="G224" i="1"/>
  <c r="I223" i="1"/>
  <c r="G223" i="1"/>
  <c r="I222" i="1"/>
  <c r="G222" i="1"/>
  <c r="I221" i="1"/>
  <c r="G221" i="1"/>
  <c r="I220" i="1"/>
  <c r="G220" i="1"/>
  <c r="X219" i="1"/>
  <c r="W219" i="1"/>
  <c r="I219" i="1"/>
  <c r="G219" i="1"/>
  <c r="X218" i="1"/>
  <c r="W218" i="1"/>
  <c r="I218" i="1"/>
  <c r="G218" i="1"/>
  <c r="I217" i="1"/>
  <c r="G217" i="1"/>
  <c r="I216" i="1"/>
  <c r="G216" i="1"/>
  <c r="I215" i="1"/>
  <c r="G215" i="1"/>
  <c r="I214" i="1"/>
  <c r="G214" i="1"/>
  <c r="I213" i="1"/>
  <c r="G213" i="1"/>
  <c r="I212" i="1"/>
  <c r="G212" i="1"/>
  <c r="I211" i="1"/>
  <c r="G211" i="1"/>
  <c r="I210" i="1"/>
  <c r="G210" i="1"/>
  <c r="I209" i="1"/>
  <c r="G209" i="1"/>
  <c r="I208" i="1"/>
  <c r="G208" i="1"/>
  <c r="I207" i="1"/>
  <c r="G207" i="1"/>
  <c r="I206" i="1"/>
  <c r="G206" i="1"/>
  <c r="I205" i="1"/>
  <c r="G205" i="1"/>
  <c r="I204" i="1"/>
  <c r="G204" i="1"/>
  <c r="I203" i="1"/>
  <c r="G203" i="1"/>
  <c r="I202" i="1"/>
  <c r="G202" i="1"/>
  <c r="I201" i="1"/>
  <c r="G201" i="1"/>
  <c r="I200" i="1"/>
  <c r="G200" i="1"/>
  <c r="I199" i="1"/>
  <c r="G199" i="1"/>
  <c r="I198" i="1"/>
  <c r="G198" i="1"/>
  <c r="I197" i="1"/>
  <c r="G197" i="1"/>
  <c r="I196" i="1"/>
  <c r="G196" i="1"/>
  <c r="I195" i="1"/>
  <c r="G195" i="1"/>
  <c r="I194" i="1"/>
  <c r="G194" i="1"/>
  <c r="I193" i="1"/>
  <c r="I192" i="1"/>
  <c r="G192" i="1"/>
  <c r="I191" i="1"/>
  <c r="G191" i="1"/>
  <c r="I190" i="1"/>
  <c r="G190" i="1"/>
  <c r="I189" i="1"/>
  <c r="G189" i="1"/>
  <c r="I188" i="1"/>
  <c r="G188" i="1"/>
  <c r="I187" i="1"/>
  <c r="G187" i="1"/>
  <c r="I186" i="1"/>
  <c r="G186" i="1"/>
  <c r="I185" i="1"/>
  <c r="G185" i="1"/>
  <c r="I184" i="1"/>
  <c r="G184" i="1"/>
  <c r="S183" i="1"/>
  <c r="P183" i="1"/>
  <c r="I183" i="1"/>
  <c r="G183" i="1"/>
  <c r="S182" i="1"/>
  <c r="I182" i="1"/>
  <c r="G182" i="1"/>
  <c r="I181" i="1"/>
  <c r="G181" i="1"/>
  <c r="I180" i="1"/>
  <c r="G180" i="1"/>
  <c r="I179" i="1"/>
  <c r="G179" i="1"/>
  <c r="I178" i="1"/>
  <c r="G178" i="1"/>
  <c r="I177" i="1"/>
  <c r="G177" i="1"/>
  <c r="I176" i="1"/>
  <c r="G176" i="1"/>
  <c r="T175" i="1"/>
  <c r="S175" i="1"/>
  <c r="R175" i="1"/>
  <c r="Q175" i="1"/>
  <c r="I175" i="1"/>
  <c r="G175" i="1"/>
  <c r="U174" i="1"/>
  <c r="I174" i="1"/>
  <c r="G174" i="1"/>
  <c r="I173" i="1"/>
  <c r="G173" i="1"/>
  <c r="O172" i="1"/>
  <c r="I172" i="1"/>
  <c r="G172" i="1"/>
  <c r="W171" i="1"/>
  <c r="I171" i="1"/>
  <c r="G171" i="1"/>
  <c r="I170" i="1"/>
  <c r="G170" i="1"/>
  <c r="I169" i="1"/>
  <c r="G169" i="1"/>
  <c r="W168" i="1"/>
  <c r="I168" i="1"/>
  <c r="G168" i="1"/>
  <c r="I167" i="1"/>
  <c r="G167" i="1"/>
  <c r="R166" i="1"/>
  <c r="Q166" i="1"/>
  <c r="P166" i="1"/>
  <c r="O166" i="1"/>
  <c r="I166" i="1"/>
  <c r="G166" i="1"/>
  <c r="I165" i="1"/>
  <c r="G165" i="1"/>
  <c r="I164" i="1"/>
  <c r="G164" i="1"/>
  <c r="I163" i="1"/>
  <c r="G163" i="1"/>
  <c r="I162" i="1"/>
  <c r="G162" i="1"/>
  <c r="I161" i="1"/>
  <c r="G161" i="1"/>
  <c r="I160" i="1"/>
  <c r="G160" i="1"/>
  <c r="I159" i="1"/>
  <c r="G159" i="1"/>
  <c r="I158" i="1"/>
  <c r="G158" i="1"/>
  <c r="I157" i="1"/>
  <c r="G157" i="1"/>
  <c r="I156" i="1"/>
  <c r="G156" i="1"/>
  <c r="I155" i="1"/>
  <c r="G155" i="1"/>
  <c r="I154" i="1"/>
  <c r="G154" i="1"/>
  <c r="I153" i="1"/>
  <c r="G153" i="1"/>
  <c r="I152" i="1"/>
  <c r="G152" i="1"/>
  <c r="I151" i="1"/>
  <c r="G151" i="1"/>
  <c r="I150" i="1"/>
  <c r="G150" i="1"/>
  <c r="I149" i="1"/>
  <c r="G149" i="1"/>
  <c r="I148" i="1"/>
  <c r="G148" i="1"/>
  <c r="I147" i="1"/>
  <c r="G147" i="1"/>
  <c r="I146" i="1"/>
  <c r="G146" i="1"/>
  <c r="I145" i="1"/>
  <c r="G145" i="1"/>
  <c r="I144" i="1"/>
  <c r="G144" i="1"/>
  <c r="I143" i="1"/>
  <c r="G143" i="1"/>
  <c r="Q142" i="1"/>
  <c r="I142" i="1"/>
  <c r="G142" i="1"/>
  <c r="X141" i="1"/>
  <c r="W141" i="1"/>
  <c r="U141" i="1"/>
  <c r="O141" i="1"/>
  <c r="I141" i="1"/>
  <c r="G141" i="1"/>
  <c r="X140" i="1"/>
  <c r="W140" i="1"/>
  <c r="U140" i="1"/>
  <c r="O140" i="1"/>
  <c r="I140" i="1"/>
  <c r="G140" i="1"/>
  <c r="I139" i="1"/>
  <c r="G139" i="1"/>
  <c r="I138" i="1"/>
  <c r="G138" i="1"/>
  <c r="X137" i="1"/>
  <c r="W137" i="1"/>
  <c r="U137" i="1"/>
  <c r="T137" i="1"/>
  <c r="S137" i="1"/>
  <c r="R137" i="1"/>
  <c r="Q137" i="1"/>
  <c r="P137" i="1"/>
  <c r="O137" i="1"/>
  <c r="N137" i="1"/>
  <c r="I137" i="1"/>
  <c r="G137" i="1"/>
  <c r="X136" i="1"/>
  <c r="T136" i="1"/>
  <c r="R136" i="1"/>
  <c r="Q136" i="1"/>
  <c r="N136" i="1"/>
  <c r="I136" i="1"/>
  <c r="G136" i="1"/>
  <c r="X135" i="1"/>
  <c r="W135" i="1"/>
  <c r="V135" i="1"/>
  <c r="U135" i="1"/>
  <c r="T135" i="1"/>
  <c r="S135" i="1"/>
  <c r="R135" i="1"/>
  <c r="P135" i="1"/>
  <c r="N135" i="1"/>
  <c r="I135" i="1"/>
  <c r="G135" i="1"/>
  <c r="X134" i="1"/>
  <c r="W134" i="1"/>
  <c r="V134" i="1"/>
  <c r="U134" i="1"/>
  <c r="T134" i="1"/>
  <c r="S134" i="1"/>
  <c r="R134" i="1"/>
  <c r="P134" i="1"/>
  <c r="O134" i="1"/>
  <c r="N134" i="1"/>
  <c r="I134" i="1"/>
  <c r="G134" i="1"/>
  <c r="X133" i="1"/>
  <c r="T133" i="1"/>
  <c r="I133" i="1"/>
  <c r="G133" i="1"/>
  <c r="X132" i="1"/>
  <c r="I132" i="1"/>
  <c r="G132" i="1"/>
  <c r="X131" i="1"/>
  <c r="I131" i="1"/>
  <c r="G131" i="1"/>
  <c r="T130" i="1"/>
  <c r="I130" i="1"/>
  <c r="G130" i="1"/>
  <c r="U129" i="1"/>
  <c r="T129" i="1"/>
  <c r="S129" i="1"/>
  <c r="R129" i="1"/>
  <c r="P129" i="1"/>
  <c r="I129" i="1"/>
  <c r="G129" i="1"/>
  <c r="R128" i="1"/>
  <c r="P128" i="1"/>
  <c r="I128" i="1"/>
  <c r="G128" i="1"/>
  <c r="X127" i="1"/>
  <c r="V127" i="1"/>
  <c r="U127" i="1"/>
  <c r="I127" i="1"/>
  <c r="G127" i="1"/>
  <c r="X126" i="1"/>
  <c r="W126" i="1"/>
  <c r="U126" i="1"/>
  <c r="S126" i="1"/>
  <c r="I126" i="1"/>
  <c r="G126" i="1"/>
  <c r="Q125" i="1"/>
  <c r="O125" i="1"/>
  <c r="I125" i="1"/>
  <c r="G125" i="1"/>
  <c r="Q124" i="1"/>
  <c r="N124" i="1"/>
  <c r="I124" i="1"/>
  <c r="G124" i="1"/>
  <c r="I123" i="1"/>
  <c r="G123" i="1"/>
  <c r="Q122" i="1"/>
  <c r="I122" i="1"/>
  <c r="G122" i="1"/>
  <c r="Q121" i="1"/>
  <c r="O121" i="1"/>
  <c r="I121" i="1"/>
  <c r="G121" i="1"/>
  <c r="Q120" i="1"/>
  <c r="N120" i="1"/>
  <c r="I120" i="1"/>
  <c r="G120" i="1"/>
  <c r="I119" i="1"/>
  <c r="G119" i="1"/>
  <c r="Q118" i="1"/>
  <c r="N118" i="1"/>
  <c r="I118" i="1"/>
  <c r="G118" i="1"/>
  <c r="X117" i="1"/>
  <c r="W117" i="1"/>
  <c r="V117" i="1"/>
  <c r="U117" i="1"/>
  <c r="T117" i="1"/>
  <c r="R117" i="1"/>
  <c r="P117" i="1"/>
  <c r="O117" i="1"/>
  <c r="N117" i="1"/>
  <c r="I117" i="1"/>
  <c r="G117" i="1"/>
  <c r="X116" i="1"/>
  <c r="W116" i="1"/>
  <c r="V116" i="1"/>
  <c r="U116" i="1"/>
  <c r="T116" i="1"/>
  <c r="R116" i="1"/>
  <c r="Q116" i="1"/>
  <c r="P116" i="1"/>
  <c r="N116" i="1"/>
  <c r="I116" i="1"/>
  <c r="G116" i="1"/>
  <c r="X115" i="1"/>
  <c r="W115" i="1"/>
  <c r="V115" i="1"/>
  <c r="U115" i="1"/>
  <c r="S115" i="1"/>
  <c r="R115" i="1"/>
  <c r="P115" i="1"/>
  <c r="N115" i="1"/>
  <c r="I115" i="1"/>
  <c r="G115" i="1"/>
  <c r="X114" i="1"/>
  <c r="W114" i="1"/>
  <c r="V114" i="1"/>
  <c r="U114" i="1"/>
  <c r="S114" i="1"/>
  <c r="R114" i="1"/>
  <c r="Q114" i="1"/>
  <c r="P114" i="1"/>
  <c r="N114" i="1"/>
  <c r="I114" i="1"/>
  <c r="G114" i="1"/>
  <c r="P113" i="1"/>
  <c r="I113" i="1"/>
  <c r="G113" i="1"/>
  <c r="S112" i="1"/>
  <c r="P112" i="1"/>
  <c r="I112" i="1"/>
  <c r="G112" i="1"/>
  <c r="X111" i="1"/>
  <c r="W111" i="1"/>
  <c r="V111" i="1"/>
  <c r="T111" i="1"/>
  <c r="S111" i="1"/>
  <c r="Q111" i="1"/>
  <c r="N111" i="1"/>
  <c r="I111" i="1"/>
  <c r="G111" i="1"/>
  <c r="W110" i="1"/>
  <c r="V110" i="1"/>
  <c r="U110" i="1"/>
  <c r="S110" i="1"/>
  <c r="R110" i="1"/>
  <c r="Q110" i="1"/>
  <c r="O110" i="1"/>
  <c r="N110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R48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33" i="1"/>
  <c r="G33" i="1"/>
  <c r="I32" i="1"/>
  <c r="G32" i="1"/>
  <c r="I31" i="1"/>
  <c r="G31" i="1"/>
  <c r="I30" i="1"/>
  <c r="G30" i="1"/>
  <c r="I29" i="1"/>
  <c r="G29" i="1"/>
  <c r="I28" i="1"/>
  <c r="G28" i="1"/>
  <c r="I27" i="1"/>
  <c r="G27" i="1"/>
  <c r="I26" i="1"/>
  <c r="G26" i="1"/>
  <c r="I25" i="1"/>
  <c r="G25" i="1"/>
  <c r="I24" i="1"/>
  <c r="G24" i="1"/>
  <c r="I23" i="1"/>
  <c r="G23" i="1"/>
  <c r="I22" i="1"/>
  <c r="G22" i="1"/>
  <c r="I21" i="1"/>
  <c r="G21" i="1"/>
  <c r="I20" i="1"/>
  <c r="G20" i="1"/>
  <c r="P19" i="1"/>
  <c r="I19" i="1"/>
  <c r="G19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N10" i="1"/>
  <c r="I10" i="1"/>
  <c r="G10" i="1"/>
  <c r="I9" i="1"/>
  <c r="G9" i="1"/>
  <c r="I8" i="1"/>
  <c r="G8" i="1"/>
  <c r="I7" i="1"/>
  <c r="G7" i="1"/>
  <c r="I6" i="1"/>
  <c r="G6" i="1"/>
  <c r="N5" i="1"/>
  <c r="I5" i="1"/>
  <c r="G5" i="1"/>
  <c r="I4" i="1"/>
  <c r="G4" i="1"/>
  <c r="R3" i="1"/>
  <c r="I3" i="1"/>
  <c r="G3" i="1"/>
  <c r="I2" i="1"/>
  <c r="G2" i="1"/>
  <c r="R354" i="1" l="1"/>
  <c r="P354" i="1"/>
  <c r="O354" i="1"/>
  <c r="U354" i="1"/>
  <c r="T354" i="1"/>
  <c r="N354" i="1"/>
  <c r="S354" i="1"/>
  <c r="X354" i="1"/>
  <c r="W354" i="1"/>
  <c r="L354" i="1"/>
  <c r="Q354" i="1"/>
  <c r="V354" i="1"/>
  <c r="K35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Sofía Jacqueline Bautista Correa</author>
    <author>Rafael Germán Espinosa Velasteguí</author>
    <author>Carlos Lenin Vergara Bautista</author>
  </authors>
  <commentList>
    <comment ref="D92" authorId="0" shapeId="0" xr:uid="{946FAD30-E6E1-4159-9B30-D916E3172D10}">
      <text>
        <r>
          <rPr>
            <b/>
            <sz val="9"/>
            <color indexed="81"/>
            <rFont val="Tahoma"/>
            <family val="2"/>
          </rPr>
          <t>Sofía Jacqueline Bautista Correa:</t>
        </r>
        <r>
          <rPr>
            <sz val="9"/>
            <color indexed="81"/>
            <rFont val="Tahoma"/>
            <family val="2"/>
          </rPr>
          <t xml:space="preserve">
Se encuentra financiado en programa 01</t>
        </r>
      </text>
    </comment>
    <comment ref="J186" authorId="0" shapeId="0" xr:uid="{BCF9F731-8BE0-4E7A-A02B-805C51EE3F42}">
      <text>
        <r>
          <rPr>
            <b/>
            <sz val="9"/>
            <color indexed="81"/>
            <rFont val="Tahoma"/>
            <family val="2"/>
          </rPr>
          <t>Sofía Jacqueline Bautista Correa:</t>
        </r>
        <r>
          <rPr>
            <sz val="9"/>
            <color indexed="81"/>
            <rFont val="Tahoma"/>
            <family val="2"/>
          </rPr>
          <t xml:space="preserve">
Tomar en cuenta era fuente 001</t>
        </r>
      </text>
    </comment>
    <comment ref="H273" authorId="1" shapeId="0" xr:uid="{E2688278-A567-41B1-B2A3-5944679881BB}">
      <text>
        <r>
          <rPr>
            <b/>
            <sz val="9"/>
            <color indexed="8"/>
            <rFont val="Tahoma"/>
            <family val="2"/>
          </rPr>
          <t>Rafael Germán Espinosa Velasteguí:</t>
        </r>
        <r>
          <rPr>
            <sz val="9"/>
            <color indexed="8"/>
            <rFont val="Tahoma"/>
            <family val="2"/>
          </rPr>
          <t xml:space="preserve">
Adquicición de Licencias</t>
        </r>
      </text>
    </comment>
    <comment ref="H274" authorId="1" shapeId="0" xr:uid="{C8BF3A77-8E6B-4EEA-AF58-766130CAEB29}">
      <text>
        <r>
          <rPr>
            <b/>
            <sz val="9"/>
            <color indexed="8"/>
            <rFont val="Tahoma"/>
            <family val="2"/>
          </rPr>
          <t>Rafael Germán Espinosa Velasteguí:</t>
        </r>
        <r>
          <rPr>
            <sz val="9"/>
            <color indexed="8"/>
            <rFont val="Tahoma"/>
            <family val="2"/>
          </rPr>
          <t xml:space="preserve">
Servicio de Migración de Información</t>
        </r>
      </text>
    </comment>
    <comment ref="H282" authorId="1" shapeId="0" xr:uid="{C63DCBC9-1C72-4C26-BEA6-2C3D95DD9581}">
      <text>
        <r>
          <rPr>
            <b/>
            <sz val="9"/>
            <color indexed="8"/>
            <rFont val="Tahoma"/>
            <family val="2"/>
          </rPr>
          <t>Rafael Germán Espinosa Velasteguí:</t>
        </r>
        <r>
          <rPr>
            <sz val="9"/>
            <color indexed="8"/>
            <rFont val="Tahoma"/>
            <family val="2"/>
          </rPr>
          <t xml:space="preserve">
Los equipos de red son dispositivos físicos que permiten la comunicación y transferencia de datos entre computadoras, servidores y otros dispositivos dentro de una red. Como Switchs de Core, Acceso, Controladora Inalámbrica, Access Point.</t>
        </r>
      </text>
    </comment>
    <comment ref="H283" authorId="1" shapeId="0" xr:uid="{AE105FC0-62BE-47EF-BC6B-C6820D5B04D9}">
      <text>
        <r>
          <rPr>
            <b/>
            <sz val="9"/>
            <color indexed="8"/>
            <rFont val="Tahoma"/>
            <family val="2"/>
          </rPr>
          <t>Rafael Germán Espinosa Velasteguí:</t>
        </r>
        <r>
          <rPr>
            <sz val="9"/>
            <color indexed="8"/>
            <rFont val="Tahoma"/>
            <family val="2"/>
          </rPr>
          <t xml:space="preserve">
Monitores de 24" para laptops
</t>
        </r>
      </text>
    </comment>
    <comment ref="H284" authorId="1" shapeId="0" xr:uid="{B140BDE0-43ED-41EE-BD17-23FAD5148F16}">
      <text>
        <r>
          <rPr>
            <b/>
            <sz val="9"/>
            <color indexed="8"/>
            <rFont val="Tahoma"/>
            <family val="2"/>
          </rPr>
          <t>Rafael Germán Espinosa Velasteguí:</t>
        </r>
        <r>
          <rPr>
            <sz val="9"/>
            <color indexed="8"/>
            <rFont val="Tahoma"/>
            <family val="2"/>
          </rPr>
          <t xml:space="preserve">
Partida de Accesorios de Larga duracion como Mouse Ergonómico, Teclados, Cables HDMI, Disco Duro SSD. Ninguna llega a 100 usd</t>
        </r>
      </text>
    </comment>
    <comment ref="H304" authorId="2" shapeId="0" xr:uid="{8433985F-9B56-4142-A918-D3E7F27F084E}">
      <text>
        <r>
          <rPr>
            <b/>
            <sz val="9"/>
            <color indexed="81"/>
            <rFont val="Tahoma"/>
            <family val="2"/>
          </rPr>
          <t>530813 repuestos y accesorios</t>
        </r>
      </text>
    </comment>
  </commentList>
</comments>
</file>

<file path=xl/sharedStrings.xml><?xml version="1.0" encoding="utf-8"?>
<sst xmlns="http://schemas.openxmlformats.org/spreadsheetml/2006/main" count="1145" uniqueCount="436">
  <si>
    <t>NRO.</t>
  </si>
  <si>
    <t>UNIDAD SUPERIOR (COORDINACIÓN/DIRECCIÓN)</t>
  </si>
  <si>
    <t>DIRECCIÓN RESPONSABLE DE LA ACTIVIDAD OPERATIVA</t>
  </si>
  <si>
    <t>PROGRAMA</t>
  </si>
  <si>
    <t>ACTIVIDAD</t>
  </si>
  <si>
    <t>GEOGRÁFICO</t>
  </si>
  <si>
    <t>GRUPO</t>
  </si>
  <si>
    <t>PARTIDA PRESUPUESTARIA</t>
  </si>
  <si>
    <t>NOMBRE DE LA PARTIDA</t>
  </si>
  <si>
    <t>FUENTE</t>
  </si>
  <si>
    <t>Monto Actividad Operativa 2025</t>
  </si>
  <si>
    <t>Total Monto Devengado</t>
  </si>
  <si>
    <t>Devengado Enero</t>
  </si>
  <si>
    <t>Devengado Febrero</t>
  </si>
  <si>
    <t>Devengado Marzo</t>
  </si>
  <si>
    <t>Devengado Abril</t>
  </si>
  <si>
    <t>Devengado Mayo</t>
  </si>
  <si>
    <t>Devengado Junio</t>
  </si>
  <si>
    <t>Devengado Julio</t>
  </si>
  <si>
    <t>Devengado Agosto</t>
  </si>
  <si>
    <t>Devengado Septiembre</t>
  </si>
  <si>
    <t>Devengado Octubre</t>
  </si>
  <si>
    <t>Devengado Noviembre</t>
  </si>
  <si>
    <t>Devengado Diciembre</t>
  </si>
  <si>
    <t>2025-GC-001</t>
  </si>
  <si>
    <t>Coordinación de Planificación y Gestión Estratégica</t>
  </si>
  <si>
    <t>Dirección de Procesos, Servicios, Calidad, Cambio y Cultura Organizacional</t>
  </si>
  <si>
    <t>2025-GC-002</t>
  </si>
  <si>
    <t>Coordinación Administrativa Financiera</t>
  </si>
  <si>
    <t>Dirección Administrativa</t>
  </si>
  <si>
    <t>2025-GC-003</t>
  </si>
  <si>
    <t>2025-GC-004</t>
  </si>
  <si>
    <t>2025-GC-005</t>
  </si>
  <si>
    <t>2025-GC-006</t>
  </si>
  <si>
    <t>2025-GC-007</t>
  </si>
  <si>
    <t>2025-GC-008</t>
  </si>
  <si>
    <t>2025-GC-009</t>
  </si>
  <si>
    <t>2025-GC-010</t>
  </si>
  <si>
    <t>2025-GC-011</t>
  </si>
  <si>
    <t>2025-GC-012</t>
  </si>
  <si>
    <t>2025-GC-013</t>
  </si>
  <si>
    <t>2025-GC-014</t>
  </si>
  <si>
    <t>2025-GC-015</t>
  </si>
  <si>
    <t>2025-GC-016</t>
  </si>
  <si>
    <t>ARCONEL</t>
  </si>
  <si>
    <t>OPTIMIZACIÓN</t>
  </si>
  <si>
    <t>2025-GC-017</t>
  </si>
  <si>
    <t>2025-GC-018</t>
  </si>
  <si>
    <t>2025-GC-019</t>
  </si>
  <si>
    <t>2025-GC-020</t>
  </si>
  <si>
    <t>2025-GC-021</t>
  </si>
  <si>
    <t>2025-GC-022</t>
  </si>
  <si>
    <t>2025-GC-023</t>
  </si>
  <si>
    <t>2025-GC-024</t>
  </si>
  <si>
    <t>2025-GC-025</t>
  </si>
  <si>
    <t>2025-GC-026</t>
  </si>
  <si>
    <t>2025-GC-027</t>
  </si>
  <si>
    <t>2025-GC-028</t>
  </si>
  <si>
    <t>2025-GC-029</t>
  </si>
  <si>
    <t>2025-GC-030</t>
  </si>
  <si>
    <t>2025-GC-031</t>
  </si>
  <si>
    <t>2025-GC-032</t>
  </si>
  <si>
    <t>2025-GC-033</t>
  </si>
  <si>
    <t>2025-GC-034</t>
  </si>
  <si>
    <t>2025-GC-035</t>
  </si>
  <si>
    <t>2025-GC-036</t>
  </si>
  <si>
    <t>2025-GC-037</t>
  </si>
  <si>
    <t>2025-GC-038</t>
  </si>
  <si>
    <t>2025-GC-039</t>
  </si>
  <si>
    <t>2025-GC-040</t>
  </si>
  <si>
    <t>2025-GC-041</t>
  </si>
  <si>
    <t>2025-GC-042</t>
  </si>
  <si>
    <t>2025-GC-043</t>
  </si>
  <si>
    <t>2025-GC-044</t>
  </si>
  <si>
    <t>2025-GC-045</t>
  </si>
  <si>
    <t>2025-GC-046</t>
  </si>
  <si>
    <t>2025-GC-047</t>
  </si>
  <si>
    <t>2025-GC-048</t>
  </si>
  <si>
    <t>2025-GC-049</t>
  </si>
  <si>
    <t>2025-GC-050</t>
  </si>
  <si>
    <t>2025-GC-051</t>
  </si>
  <si>
    <t>2025-GC-052</t>
  </si>
  <si>
    <t>2025-GC-053</t>
  </si>
  <si>
    <t>2025-GC-054</t>
  </si>
  <si>
    <t>2025-GC-055</t>
  </si>
  <si>
    <t>2025-GC-056</t>
  </si>
  <si>
    <t>2025-GC-057</t>
  </si>
  <si>
    <t>2025-GC-058</t>
  </si>
  <si>
    <t>2025-GC-059</t>
  </si>
  <si>
    <t>2025-GC-060</t>
  </si>
  <si>
    <t>2025-GC-061</t>
  </si>
  <si>
    <t>2025-GC-062</t>
  </si>
  <si>
    <t xml:space="preserve">COORDINACIÓN DE ASESORÍA JURÍDICA </t>
  </si>
  <si>
    <t xml:space="preserve">DIRECCIÓN DE ASESORÍA JURÍDICA Y PATROCINIO JUDICIAL </t>
  </si>
  <si>
    <t>2025-GC-063</t>
  </si>
  <si>
    <t>Dirección de Tecnologías de la Información y Comunicación</t>
  </si>
  <si>
    <t>2025-GC-064</t>
  </si>
  <si>
    <t>2025-GC-065</t>
  </si>
  <si>
    <t>2025-GC-066</t>
  </si>
  <si>
    <t>2025-GC-067</t>
  </si>
  <si>
    <t>2025-GC-068</t>
  </si>
  <si>
    <t>2025-GC-069</t>
  </si>
  <si>
    <t>2025-GC-070</t>
  </si>
  <si>
    <t>2025-GC-071</t>
  </si>
  <si>
    <t>2025-GC-072</t>
  </si>
  <si>
    <t>2025-GC-073</t>
  </si>
  <si>
    <t>2025-GC-074</t>
  </si>
  <si>
    <t>2025-GC-075</t>
  </si>
  <si>
    <t>2025-GC-076</t>
  </si>
  <si>
    <t>2025-GC-077</t>
  </si>
  <si>
    <t>2025-GC-078</t>
  </si>
  <si>
    <t>2025-GC-079</t>
  </si>
  <si>
    <t>2025-GC-080</t>
  </si>
  <si>
    <t>2025-GC-081</t>
  </si>
  <si>
    <t>Dirección de Comunicación Social</t>
  </si>
  <si>
    <t>Dirección de Comuniación Social</t>
  </si>
  <si>
    <t>2025-GC-082</t>
  </si>
  <si>
    <t>2025-GC-083</t>
  </si>
  <si>
    <t>2025-GC-084</t>
  </si>
  <si>
    <t>2025-GC-085</t>
  </si>
  <si>
    <t>Coordinación Nacional de Regulación Eléctrica</t>
  </si>
  <si>
    <t>Dirección Técnica de Estudios, Información e Innovación</t>
  </si>
  <si>
    <t>530702</t>
  </si>
  <si>
    <t>2025-GC-086</t>
  </si>
  <si>
    <t>2025-GC-087</t>
  </si>
  <si>
    <t>2025-GC-088</t>
  </si>
  <si>
    <t>2025-GC-089</t>
  </si>
  <si>
    <t>2025-GC-090</t>
  </si>
  <si>
    <t>2025-GC-091</t>
  </si>
  <si>
    <t>2025-GC-092</t>
  </si>
  <si>
    <t>Dirección Técnica de Regulación</t>
  </si>
  <si>
    <t>2025-GC-093</t>
  </si>
  <si>
    <t>2025-GC-094</t>
  </si>
  <si>
    <t>2025-GC-095</t>
  </si>
  <si>
    <t>2025-GC-096</t>
  </si>
  <si>
    <t>2025-GC-097</t>
  </si>
  <si>
    <t>Dirección Técnica de Regulación Económica y Tarifas</t>
  </si>
  <si>
    <t>2025-GC-098</t>
  </si>
  <si>
    <t>2025-GC-099</t>
  </si>
  <si>
    <t>2025-GC-100</t>
  </si>
  <si>
    <t>2025-GC-101</t>
  </si>
  <si>
    <t>2025-GC-102</t>
  </si>
  <si>
    <t>530704</t>
  </si>
  <si>
    <t>2025-GC-103</t>
  </si>
  <si>
    <t>2025-GC-104</t>
  </si>
  <si>
    <t>2025-GC-105</t>
  </si>
  <si>
    <t>2025-GC-106</t>
  </si>
  <si>
    <t>2025-GC-107</t>
  </si>
  <si>
    <t>Dirección de Gestión Documental y Archivo</t>
  </si>
  <si>
    <t>2025-GC-108</t>
  </si>
  <si>
    <t>2025-GC-109</t>
  </si>
  <si>
    <t>COORDINACIÓN ADMINISTRATIVA FINANCIERA</t>
  </si>
  <si>
    <t>DIRECCIÓN DE ADMINISTRACIÓN DEL TALENTO HUMANO</t>
  </si>
  <si>
    <t>510105</t>
  </si>
  <si>
    <t>2025-GC-110</t>
  </si>
  <si>
    <t>2025-GC-111</t>
  </si>
  <si>
    <t>510106</t>
  </si>
  <si>
    <t>2025-GC-112</t>
  </si>
  <si>
    <t>2025-GC-113</t>
  </si>
  <si>
    <t>510203</t>
  </si>
  <si>
    <t>2025-GC-114</t>
  </si>
  <si>
    <t>2025-GC-115</t>
  </si>
  <si>
    <t>510204</t>
  </si>
  <si>
    <t>2025-GC-116</t>
  </si>
  <si>
    <t>2025-GC-117</t>
  </si>
  <si>
    <t>510304</t>
  </si>
  <si>
    <t>2025-GC-118</t>
  </si>
  <si>
    <t>2025-GC-119</t>
  </si>
  <si>
    <t>510306</t>
  </si>
  <si>
    <t>2025-GC-120</t>
  </si>
  <si>
    <t>2025-GC-121</t>
  </si>
  <si>
    <t>510401</t>
  </si>
  <si>
    <t>2025-GC-122</t>
  </si>
  <si>
    <t>2025-GC-123</t>
  </si>
  <si>
    <t>510408</t>
  </si>
  <si>
    <t>2025-GC-124</t>
  </si>
  <si>
    <t>2025-GC-125</t>
  </si>
  <si>
    <t>510509</t>
  </si>
  <si>
    <t>2025-GC-126</t>
  </si>
  <si>
    <t>2025-GC-127</t>
  </si>
  <si>
    <t>510510</t>
  </si>
  <si>
    <t>2025-GC-128</t>
  </si>
  <si>
    <t>2025-GC-129</t>
  </si>
  <si>
    <t>510512</t>
  </si>
  <si>
    <t>2025-GC-130</t>
  </si>
  <si>
    <t>2025-GC-131</t>
  </si>
  <si>
    <t>510513</t>
  </si>
  <si>
    <t>2025-GC-132</t>
  </si>
  <si>
    <t>2025-GC-133</t>
  </si>
  <si>
    <t>510601</t>
  </si>
  <si>
    <t>2025-GC-134</t>
  </si>
  <si>
    <t>2025-GC-135</t>
  </si>
  <si>
    <t>510602</t>
  </si>
  <si>
    <t>2025-GC-136</t>
  </si>
  <si>
    <t>2025-GC-137</t>
  </si>
  <si>
    <t>510704</t>
  </si>
  <si>
    <t>2025-GC-138</t>
  </si>
  <si>
    <t>2025-GC-139</t>
  </si>
  <si>
    <t>510707</t>
  </si>
  <si>
    <t>2025-GC-140</t>
  </si>
  <si>
    <t>2025-GC-141</t>
  </si>
  <si>
    <t>2025-GC-142</t>
  </si>
  <si>
    <t>2025-GC-143</t>
  </si>
  <si>
    <t>2025-GC-144</t>
  </si>
  <si>
    <t>2025-GC-145</t>
  </si>
  <si>
    <t>2025-GC-146</t>
  </si>
  <si>
    <t>2025-GC-147</t>
  </si>
  <si>
    <t>Coordinación Nacional de Control Eléctrico</t>
  </si>
  <si>
    <t xml:space="preserve">Dirección Técnica de Control de Comercialización </t>
  </si>
  <si>
    <t>2025-GC-148</t>
  </si>
  <si>
    <t>2025-GC-149</t>
  </si>
  <si>
    <t>Coordinación Nacional Ambiental Eléctrica</t>
  </si>
  <si>
    <t>DIRECCIÓN TÉCNICA DE CONTROL Y SEGUIMIENTO AMBIENTAL</t>
  </si>
  <si>
    <t>2025-GC-150</t>
  </si>
  <si>
    <t>2025-GC-151</t>
  </si>
  <si>
    <t>2025-GC-152</t>
  </si>
  <si>
    <t>2025-GC-153</t>
  </si>
  <si>
    <t>2025-GC-154</t>
  </si>
  <si>
    <t>2025-GC-155</t>
  </si>
  <si>
    <t>2025-GC-156</t>
  </si>
  <si>
    <t>2025-GC-157</t>
  </si>
  <si>
    <t>2025-GC-158</t>
  </si>
  <si>
    <t>2025-GC-159</t>
  </si>
  <si>
    <t>2025-GC-160</t>
  </si>
  <si>
    <t xml:space="preserve">Dirección de Asesoría Jurídica y Patrocinio Judicial </t>
  </si>
  <si>
    <t>2025-GC-161</t>
  </si>
  <si>
    <t>DIRECCIÓN DE COATIVAS E INFRACCIONES</t>
  </si>
  <si>
    <t>2025-GC-162</t>
  </si>
  <si>
    <t>DIRECCIÓN DE PLANIFICACIÓN E INVERSIÓN SEGUIMIENTO Y EVALUACIÓN</t>
  </si>
  <si>
    <t>2025-GC-163</t>
  </si>
  <si>
    <t>2025-GC-164</t>
  </si>
  <si>
    <t>2025-GC-165</t>
  </si>
  <si>
    <t>2025-GC-166</t>
  </si>
  <si>
    <t>2025-GC-167</t>
  </si>
  <si>
    <t>2025-GC-168</t>
  </si>
  <si>
    <t xml:space="preserve">DIRECCION TECNICA DE REGULACIÓN ECONOMICA Y TARIFAS </t>
  </si>
  <si>
    <t>2025-GC-169</t>
  </si>
  <si>
    <t>Dirección Técnica de Control de Distribución</t>
  </si>
  <si>
    <t>2025-GC-170</t>
  </si>
  <si>
    <t xml:space="preserve">DIRECCIÓN TECNICA DE CONTROL Y COMERCIALIZACIÓN </t>
  </si>
  <si>
    <t>2025-GC-171</t>
  </si>
  <si>
    <t>DIRECCIÓN DE CONTROL Y GENERACIÓN Y TRANSMISIÓN</t>
  </si>
  <si>
    <t>2025-GC-172</t>
  </si>
  <si>
    <t xml:space="preserve">DIRECCIÓN DISTRITAL GUAYAS </t>
  </si>
  <si>
    <t>2025-GC-173</t>
  </si>
  <si>
    <t>2025-GC-174</t>
  </si>
  <si>
    <t>2025-GC-175</t>
  </si>
  <si>
    <t>DIRECCION DE GESTION DOCUMENTAL Y ARCHIVO</t>
  </si>
  <si>
    <t>2025-GC-176</t>
  </si>
  <si>
    <t>2025-GC-177</t>
  </si>
  <si>
    <t>DIRECCIÓN TECNICA DE CONTROL Y SEGUIMIENTO AMBIENTAL</t>
  </si>
  <si>
    <t>2025-GC-178</t>
  </si>
  <si>
    <t>2025-GC-179</t>
  </si>
  <si>
    <t>2025-GC-180</t>
  </si>
  <si>
    <t>2025-GC-181</t>
  </si>
  <si>
    <t>Dirección Financiera</t>
  </si>
  <si>
    <t>2025-GC-182</t>
  </si>
  <si>
    <t>2025-GC-183</t>
  </si>
  <si>
    <t>2025-GC-184</t>
  </si>
  <si>
    <t>2025-GC-185</t>
  </si>
  <si>
    <t>2025-GC-186</t>
  </si>
  <si>
    <t>2025-GC-187</t>
  </si>
  <si>
    <t>2025-GC-188</t>
  </si>
  <si>
    <t>2025-GC-189</t>
  </si>
  <si>
    <t>2025-GC-190</t>
  </si>
  <si>
    <t>2025-GC-191</t>
  </si>
  <si>
    <t>2025-GC-192</t>
  </si>
  <si>
    <t>53</t>
  </si>
  <si>
    <t>2025-GC-193</t>
  </si>
  <si>
    <t>2025-GC-194</t>
  </si>
  <si>
    <t>2025-GC-195</t>
  </si>
  <si>
    <t>2025-GC-196</t>
  </si>
  <si>
    <t>2025-GC-197</t>
  </si>
  <si>
    <t>2025-GC-198</t>
  </si>
  <si>
    <t>2025-GC-199</t>
  </si>
  <si>
    <t>2025-GC-200</t>
  </si>
  <si>
    <t>2025-GC-201</t>
  </si>
  <si>
    <t>2025-GC-202</t>
  </si>
  <si>
    <t>2025-GC-203</t>
  </si>
  <si>
    <t>2025-GC-204</t>
  </si>
  <si>
    <t>2025-GC-205</t>
  </si>
  <si>
    <t>2025-GC-206</t>
  </si>
  <si>
    <t>2025-GC-207</t>
  </si>
  <si>
    <t>2025-GC-208</t>
  </si>
  <si>
    <t>2025-GC-209</t>
  </si>
  <si>
    <t>2025-GC-210</t>
  </si>
  <si>
    <t>2025-GC-211</t>
  </si>
  <si>
    <t>2025-GC-212</t>
  </si>
  <si>
    <t>2025-GC-213</t>
  </si>
  <si>
    <t>2025-GC-214</t>
  </si>
  <si>
    <t>2025-GC-215</t>
  </si>
  <si>
    <t>2025-GC-216</t>
  </si>
  <si>
    <t>2025-GC-217</t>
  </si>
  <si>
    <t>2025-GC-218</t>
  </si>
  <si>
    <t>2025-GC-219</t>
  </si>
  <si>
    <t>2025-GC-220</t>
  </si>
  <si>
    <t>2025-GC-221</t>
  </si>
  <si>
    <t>2025-GC-222</t>
  </si>
  <si>
    <t>2025-GC-223</t>
  </si>
  <si>
    <t>2025-GC-224</t>
  </si>
  <si>
    <t>2025-GC-225</t>
  </si>
  <si>
    <t>2025-GC-226</t>
  </si>
  <si>
    <t>2025-GC-227</t>
  </si>
  <si>
    <t>2025-GC-228</t>
  </si>
  <si>
    <t>2025-GC-229</t>
  </si>
  <si>
    <t>2025-GC-230</t>
  </si>
  <si>
    <t>2025-GC-231</t>
  </si>
  <si>
    <t>2025-GC-232</t>
  </si>
  <si>
    <t>2025-GC-233</t>
  </si>
  <si>
    <t>2025-GC-234</t>
  </si>
  <si>
    <t>2025-GC-235</t>
  </si>
  <si>
    <t>2025-GC-236</t>
  </si>
  <si>
    <t>2025-GC-237</t>
  </si>
  <si>
    <t>2025-GC-238</t>
  </si>
  <si>
    <t>2025-GC-239</t>
  </si>
  <si>
    <t>2025-GC-240</t>
  </si>
  <si>
    <t>2025-GC-241</t>
  </si>
  <si>
    <t>2025-GC-242</t>
  </si>
  <si>
    <t>2025-GC-243</t>
  </si>
  <si>
    <t>2025-GC-244</t>
  </si>
  <si>
    <t>2025-GC-245</t>
  </si>
  <si>
    <t>2025-GC-246</t>
  </si>
  <si>
    <t>2025-GC-247</t>
  </si>
  <si>
    <t>2025-GC-248</t>
  </si>
  <si>
    <t>2025-GC-249</t>
  </si>
  <si>
    <t>2025-GC-250</t>
  </si>
  <si>
    <t>2025-GC-251</t>
  </si>
  <si>
    <t>2025-GC-252</t>
  </si>
  <si>
    <t>2025-GC-253</t>
  </si>
  <si>
    <t>2025-GC-254</t>
  </si>
  <si>
    <t>2025-GC-255</t>
  </si>
  <si>
    <t>2025-GC-256</t>
  </si>
  <si>
    <t>2025-GC-257</t>
  </si>
  <si>
    <t>2025-GC-258</t>
  </si>
  <si>
    <t>2025-GC-259</t>
  </si>
  <si>
    <t>2025-GC-260</t>
  </si>
  <si>
    <t>2025-GC-261</t>
  </si>
  <si>
    <t>2025-GC-262</t>
  </si>
  <si>
    <t>2025-GC-263</t>
  </si>
  <si>
    <t>2025-GC-264</t>
  </si>
  <si>
    <t>2025-GC-265</t>
  </si>
  <si>
    <t>2025-GC-266</t>
  </si>
  <si>
    <t>2025-GC-267</t>
  </si>
  <si>
    <t>2025-GC-268</t>
  </si>
  <si>
    <t>2025-GC-269</t>
  </si>
  <si>
    <t>2025-GC-270</t>
  </si>
  <si>
    <t>2025-GC-271</t>
  </si>
  <si>
    <t>2025-GC-272</t>
  </si>
  <si>
    <t>2025-GC-273</t>
  </si>
  <si>
    <t>2025-GC-274</t>
  </si>
  <si>
    <t>2025-GC-275</t>
  </si>
  <si>
    <t>2025-GC-276</t>
  </si>
  <si>
    <t>2025-GC-277</t>
  </si>
  <si>
    <t>2025-GC-278</t>
  </si>
  <si>
    <t>2025-GC-279</t>
  </si>
  <si>
    <t>2025-GC-280</t>
  </si>
  <si>
    <t>2025-GC-281</t>
  </si>
  <si>
    <t>2025-GC-282</t>
  </si>
  <si>
    <t>2025-GC-283</t>
  </si>
  <si>
    <t>2025-GC-284</t>
  </si>
  <si>
    <t>2025-GC-285</t>
  </si>
  <si>
    <t>2025-GC-286</t>
  </si>
  <si>
    <t>Coordinación Nacional de Control
Eléctrico</t>
  </si>
  <si>
    <t>2025-GC-287</t>
  </si>
  <si>
    <t>2025-GC-288</t>
  </si>
  <si>
    <t>2025-GC-289</t>
  </si>
  <si>
    <t>2025-GC-290</t>
  </si>
  <si>
    <t>2025-GC-291</t>
  </si>
  <si>
    <t>2025-GC-292</t>
  </si>
  <si>
    <t>2025-GC-293</t>
  </si>
  <si>
    <t>2025-GC-294</t>
  </si>
  <si>
    <t>2025-GC-295</t>
  </si>
  <si>
    <t>2025-GC-296</t>
  </si>
  <si>
    <t>2025-GC-297</t>
  </si>
  <si>
    <t>2025-GC-298</t>
  </si>
  <si>
    <t>Dirección Ejecutiva</t>
  </si>
  <si>
    <t>2025-GC-299</t>
  </si>
  <si>
    <t>Obligaciones de Ejercicios Anteriores por Egresos de Personal</t>
  </si>
  <si>
    <t>2025-GC-300</t>
  </si>
  <si>
    <t>2025-GC-301</t>
  </si>
  <si>
    <t>2025-GC-302</t>
  </si>
  <si>
    <t>2025-GC-303</t>
  </si>
  <si>
    <t>2025-GC-304</t>
  </si>
  <si>
    <t>2025-GC-305</t>
  </si>
  <si>
    <t>2025-GC-306</t>
  </si>
  <si>
    <t>2025-GC-307</t>
  </si>
  <si>
    <t>2025-GC-308</t>
  </si>
  <si>
    <t>2025-GC-309</t>
  </si>
  <si>
    <t>2025-GC-310</t>
  </si>
  <si>
    <t>2025-GC-311</t>
  </si>
  <si>
    <t>2025-GI-001</t>
  </si>
  <si>
    <t>Beneficio por jubilación</t>
  </si>
  <si>
    <t>2025-GC-312</t>
  </si>
  <si>
    <t>2025-GC-313</t>
  </si>
  <si>
    <t>2025-GC-314</t>
  </si>
  <si>
    <t>2025-GC-315</t>
  </si>
  <si>
    <t>2025-GC-316</t>
  </si>
  <si>
    <t>2025-GC-317</t>
  </si>
  <si>
    <t>2025-GC-318</t>
  </si>
  <si>
    <t>2025-GC-319</t>
  </si>
  <si>
    <t>2025-GC-319 A</t>
  </si>
  <si>
    <t>2025-GC-320</t>
  </si>
  <si>
    <t>2025-GC-321</t>
  </si>
  <si>
    <t>2025-GC-322</t>
  </si>
  <si>
    <t>2025-GC-323</t>
  </si>
  <si>
    <t>2025-GC-324</t>
  </si>
  <si>
    <t>2025-GC-325</t>
  </si>
  <si>
    <t>2025-GC-326</t>
  </si>
  <si>
    <t>2025-GC-327</t>
  </si>
  <si>
    <t>2025-GC-328</t>
  </si>
  <si>
    <t>2025-GC-329</t>
  </si>
  <si>
    <t>2025-GC-330</t>
  </si>
  <si>
    <t>2025-GC-331</t>
  </si>
  <si>
    <t>2025-GC-332</t>
  </si>
  <si>
    <t>2025-GC-333</t>
  </si>
  <si>
    <t>2025-GC-334</t>
  </si>
  <si>
    <t>2025-GC-335</t>
  </si>
  <si>
    <t>2025-GC-336</t>
  </si>
  <si>
    <t>2025-GC-337</t>
  </si>
  <si>
    <t>Arrendamiento y Licencias de Uso de Paquetes Informaticos</t>
  </si>
  <si>
    <t>2025-GC-338</t>
  </si>
  <si>
    <t>2025-GC-339</t>
  </si>
  <si>
    <t>2025-GC-350</t>
  </si>
  <si>
    <t>2025-GC-340</t>
  </si>
  <si>
    <t>2025-GC-341</t>
  </si>
  <si>
    <t>2025-GC-342</t>
  </si>
  <si>
    <t>2025-GC-343</t>
  </si>
  <si>
    <t>2025-GC-344</t>
  </si>
  <si>
    <t>2025-GC-345</t>
  </si>
  <si>
    <t>2025-GC-346</t>
  </si>
  <si>
    <t>2025-GC-347</t>
  </si>
  <si>
    <t>2025-GC-348</t>
  </si>
  <si>
    <t>DIRECCIÓN DISTRITAL AZUAY</t>
  </si>
  <si>
    <t>2025-GC-349</t>
  </si>
  <si>
    <t>DIRECCIÓN DISTRITAL MANABÍ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</si>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</sst>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$&quot;#,##0.00"/>
    <numFmt numFmtId="165" formatCode="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3" fontId="2" fillId="5" borderId="1" xfId="2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65" fontId="5" fillId="7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3" applyFont="1" applyFill="1" applyBorder="1" applyAlignment="1">
      <alignment horizontal="center" vertical="center" wrapText="1"/>
    </xf>
    <xf numFmtId="0" fontId="0" fillId="0" borderId="2" xfId="0" applyBorder="1"/>
    <xf numFmtId="164" fontId="3" fillId="6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6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left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4">
    <cellStyle name="Millares 2" xfId="2" xr:uid="{773BA477-0DC5-4EC6-AAEF-3F2EF8A69213}"/>
    <cellStyle name="Normal" xfId="0" builtinId="0"/>
    <cellStyle name="Normal 2" xfId="3" xr:uid="{EEBFDE88-FDEB-40CA-99DF-940C550112A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fia.bautista\Desktop\Septiembre%203\2025\POA\Matriz%20de%20Necesidades%202025\Matriz%20POA\31.12.2025\Matriz%20POA%2031.12.2025.xlsx" TargetMode="External"/><Relationship Id="rId1" Type="http://schemas.openxmlformats.org/officeDocument/2006/relationships/externalLinkPath" Target="file:///C:\Users\sofia.bautista\Desktop\Septiembre%203\2025\POA\Matriz%20de%20Necesidades%202025\Matriz%20POA\31.12.2025\Matriz%20POA%2031.12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ofia.bautista\Downloads\Matriz%20POA%2027.11.2025%20AZUAY.xlsx" TargetMode="External"/><Relationship Id="rId1" Type="http://schemas.openxmlformats.org/officeDocument/2006/relationships/externalLinkPath" Target="file:///C:\Users\sofia.bautista\Downloads\Matriz%20POA%2027.11.2025%20AZU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Presupuestaria UG"/>
      <sheetName val="Certificaciones POA"/>
      <sheetName val="% Ejecución"/>
      <sheetName val="CATALOGO"/>
      <sheetName val="Hoja1"/>
      <sheetName val="Modicaciones"/>
      <sheetName val="Hoja2"/>
      <sheetName val="Hoja3"/>
      <sheetName val="Hoja4"/>
      <sheetName val="Matriz necesidades 2025"/>
    </sheetNames>
    <sheetDataSet>
      <sheetData sheetId="0"/>
      <sheetData sheetId="1"/>
      <sheetData sheetId="2"/>
      <sheetData sheetId="3">
        <row r="2">
          <cell r="B2" t="str">
            <v>510105</v>
          </cell>
          <cell r="C2" t="str">
            <v>Remuneraciones Unificadas</v>
          </cell>
        </row>
        <row r="3">
          <cell r="B3" t="str">
            <v>510106</v>
          </cell>
          <cell r="C3" t="str">
            <v>Salarios Unificados</v>
          </cell>
        </row>
        <row r="4">
          <cell r="B4" t="str">
            <v>510203</v>
          </cell>
          <cell r="C4" t="str">
            <v>Decimo Tercer Sueldo</v>
          </cell>
        </row>
        <row r="5">
          <cell r="B5" t="str">
            <v>510204</v>
          </cell>
          <cell r="C5" t="str">
            <v>Decimo Cuarto Sueldo</v>
          </cell>
        </row>
        <row r="6">
          <cell r="B6" t="str">
            <v>510304</v>
          </cell>
          <cell r="C6" t="str">
            <v>Compensacion por Transporte</v>
          </cell>
        </row>
        <row r="7">
          <cell r="B7" t="str">
            <v>510306</v>
          </cell>
          <cell r="C7" t="str">
            <v>Alimentacion</v>
          </cell>
        </row>
        <row r="8">
          <cell r="B8" t="str">
            <v>510401</v>
          </cell>
          <cell r="C8" t="str">
            <v>Por Cargas Familiares</v>
          </cell>
        </row>
        <row r="9">
          <cell r="B9" t="str">
            <v>510408</v>
          </cell>
          <cell r="C9" t="str">
            <v>Subsidio de Antiguedad</v>
          </cell>
        </row>
        <row r="10">
          <cell r="B10">
            <v>510702</v>
          </cell>
          <cell r="C10" t="str">
            <v>Supresion de Puesto</v>
          </cell>
        </row>
        <row r="11">
          <cell r="B11" t="str">
            <v>510509</v>
          </cell>
          <cell r="C11" t="str">
            <v>Horas Extraordinarias y Suplementarias</v>
          </cell>
        </row>
        <row r="12">
          <cell r="B12" t="str">
            <v>510510</v>
          </cell>
          <cell r="C12" t="str">
            <v>Servicios Personales por Contrato</v>
          </cell>
        </row>
        <row r="13">
          <cell r="B13" t="str">
            <v>510512</v>
          </cell>
          <cell r="C13" t="str">
            <v>Subrogacion</v>
          </cell>
        </row>
        <row r="14">
          <cell r="B14" t="str">
            <v>510513</v>
          </cell>
          <cell r="C14" t="str">
            <v>Encargos</v>
          </cell>
        </row>
        <row r="15">
          <cell r="B15" t="str">
            <v>510601</v>
          </cell>
          <cell r="C15" t="str">
            <v>Aporte Patronal</v>
          </cell>
        </row>
        <row r="16">
          <cell r="B16" t="str">
            <v>510602</v>
          </cell>
          <cell r="C16" t="str">
            <v>Fondo de Reserva</v>
          </cell>
        </row>
        <row r="17">
          <cell r="B17" t="str">
            <v>510702</v>
          </cell>
          <cell r="C17" t="str">
            <v>Supresion de Puesto</v>
          </cell>
        </row>
        <row r="18">
          <cell r="B18" t="str">
            <v>510704</v>
          </cell>
          <cell r="C18" t="str">
            <v>Compensacion por Desahucio</v>
          </cell>
        </row>
        <row r="19">
          <cell r="B19" t="str">
            <v>510706</v>
          </cell>
          <cell r="C19" t="str">
            <v>Beneficio por Jubilacion</v>
          </cell>
        </row>
        <row r="20">
          <cell r="B20" t="str">
            <v>510707</v>
          </cell>
          <cell r="C20" t="str">
            <v xml:space="preserve">Compensacion por Vacaciones no Gozadas por Cesacion de Funciones </v>
          </cell>
        </row>
        <row r="21">
          <cell r="B21">
            <v>530101</v>
          </cell>
          <cell r="C21" t="str">
            <v>Agua Potable</v>
          </cell>
        </row>
        <row r="22">
          <cell r="B22">
            <v>530104</v>
          </cell>
          <cell r="C22" t="str">
            <v>Energia Electrica</v>
          </cell>
        </row>
        <row r="23">
          <cell r="B23">
            <v>530105</v>
          </cell>
          <cell r="C23" t="str">
            <v>Telecomunicaciones</v>
          </cell>
        </row>
        <row r="24">
          <cell r="B24">
            <v>530106</v>
          </cell>
          <cell r="C24" t="str">
            <v>Servicio de Correo</v>
          </cell>
        </row>
        <row r="25">
          <cell r="B25">
            <v>530201</v>
          </cell>
          <cell r="C25" t="str">
            <v>Transporte de Personal</v>
          </cell>
        </row>
        <row r="26">
          <cell r="B26" t="str">
            <v>530202</v>
          </cell>
          <cell r="C26" t="str">
            <v>Fletes y Maniobras</v>
          </cell>
        </row>
        <row r="27">
          <cell r="B27">
            <v>530203</v>
          </cell>
          <cell r="C27" t="str">
            <v>Almacenamiento - Embalaje - Desembalaje Envase Desenvase y Recarga de Extintores</v>
          </cell>
        </row>
        <row r="28">
          <cell r="B28">
            <v>530204</v>
          </cell>
          <cell r="C28" t="str">
            <v>Edicion - Impresion - Reproduccion -Publicaciones - Suscripciones - Fotocopiado - Traduccion - Empastado - Enmarcacion - Serigrafia - Fotografia - Carnetizacion - Filmacion e Imagenes Satelitales</v>
          </cell>
        </row>
        <row r="29">
          <cell r="B29">
            <v>530208</v>
          </cell>
          <cell r="C29" t="str">
            <v>Servicio de Seguridad y Vigilancia</v>
          </cell>
        </row>
        <row r="30">
          <cell r="B30">
            <v>530209</v>
          </cell>
          <cell r="C30" t="str">
            <v>Servicios de Aseo -Lavado de Vestimenta de Trabajo- Fumigacion -Desinfeccion Limpieza de Instalaciones manejo de desechos contaminados recuperacion y clasificacion de materiales reciclables</v>
          </cell>
        </row>
        <row r="31">
          <cell r="B31">
            <v>530210</v>
          </cell>
          <cell r="C31" t="str">
            <v>Servicio de Guardería</v>
          </cell>
        </row>
        <row r="32">
          <cell r="B32" t="str">
            <v>530226</v>
          </cell>
          <cell r="C32" t="str">
            <v>Servicios Medicos Hospitalarios y Complementarios</v>
          </cell>
        </row>
        <row r="33">
          <cell r="B33">
            <v>530239</v>
          </cell>
          <cell r="C33" t="str">
            <v>Membrecias</v>
          </cell>
        </row>
        <row r="34">
          <cell r="B34">
            <v>530246</v>
          </cell>
          <cell r="C34" t="str">
            <v>Servicios de Identificacion- Marcacion- Autentificacion- Rastreo- Monitoreo- Seguimiento y-o Trazabilidad</v>
          </cell>
        </row>
        <row r="35">
          <cell r="B35" t="str">
            <v>530243</v>
          </cell>
          <cell r="C35" t="str">
            <v>Garantía Extendida de Bienes</v>
          </cell>
        </row>
        <row r="36">
          <cell r="B36" t="str">
            <v>530244</v>
          </cell>
          <cell r="C36" t="str">
            <v>Servicio de Confección de Menaje de Hogar y/o Prendas de Protección</v>
          </cell>
        </row>
        <row r="37">
          <cell r="B37" t="str">
            <v>530249</v>
          </cell>
          <cell r="C37" t="str">
            <v>Eventos Públicos Promocionales</v>
          </cell>
        </row>
        <row r="38">
          <cell r="B38" t="str">
            <v>530205</v>
          </cell>
          <cell r="C38" t="str">
            <v>Espectáculos Culturales y Sociales</v>
          </cell>
        </row>
        <row r="39">
          <cell r="B39">
            <v>530255</v>
          </cell>
          <cell r="C39" t="str">
            <v>Combustibles y Lubricantes</v>
          </cell>
        </row>
        <row r="40">
          <cell r="B40" t="str">
            <v>530253</v>
          </cell>
          <cell r="C40" t="str">
            <v>Servicios Generales para Subastas, Arriendos y Remates</v>
          </cell>
        </row>
        <row r="41">
          <cell r="B41" t="str">
            <v>530231</v>
          </cell>
          <cell r="C41" t="str">
            <v>Servicios de Protección y Asistencia Técnica a Víctimas, Testigos y Otros Participantes en Procesos Penales</v>
          </cell>
        </row>
        <row r="42">
          <cell r="B42" t="str">
            <v>530233</v>
          </cell>
          <cell r="C42" t="str">
            <v>Servicios en Actividades Mineras e Hidrocarburíferas</v>
          </cell>
        </row>
        <row r="43">
          <cell r="B43">
            <v>530301</v>
          </cell>
          <cell r="C43" t="str">
            <v>Pasajes al Interior</v>
          </cell>
        </row>
        <row r="44">
          <cell r="B44">
            <v>530302</v>
          </cell>
          <cell r="C44" t="str">
            <v>Pasajes al Exterior</v>
          </cell>
        </row>
        <row r="45">
          <cell r="B45">
            <v>530303</v>
          </cell>
          <cell r="C45" t="str">
            <v>Viaticos y Subsistencias en el Interior</v>
          </cell>
        </row>
        <row r="46">
          <cell r="B46">
            <v>530304</v>
          </cell>
          <cell r="C46" t="str">
            <v>Viaticos y Subsistencias en el Exterior</v>
          </cell>
        </row>
        <row r="47">
          <cell r="B47" t="str">
            <v>530306</v>
          </cell>
          <cell r="C47" t="str">
            <v>Viáticos por Gastos de Residencia</v>
          </cell>
        </row>
        <row r="48">
          <cell r="B48">
            <v>530402</v>
          </cell>
          <cell r="C48" t="str">
            <v>Edificios- Locales- Residencias y Cableado Estructurado (Instalacion - Mantenimiento y Reparacion)</v>
          </cell>
        </row>
        <row r="49">
          <cell r="B49">
            <v>530404</v>
          </cell>
          <cell r="C49" t="str">
            <v>Maquinarias y Equipos (Instalacion- Mantenimiento y Reparacion)</v>
          </cell>
        </row>
        <row r="50">
          <cell r="B50">
            <v>530405</v>
          </cell>
          <cell r="C50" t="str">
            <v>Vehiculos (Servicio para Mantenimiento y Reparacion)</v>
          </cell>
        </row>
        <row r="51">
          <cell r="B51">
            <v>530502</v>
          </cell>
          <cell r="C51" t="str">
            <v>Edificios- Locales y Residencias- Parqueaderos- Casilleros Judiciales y Bancarios (Arrendamiento)</v>
          </cell>
        </row>
        <row r="52">
          <cell r="B52" t="str">
            <v>530504</v>
          </cell>
          <cell r="C52" t="str">
            <v>Maquinarias y Equipos (Arrendamiento)</v>
          </cell>
        </row>
        <row r="53">
          <cell r="B53">
            <v>530601</v>
          </cell>
          <cell r="C53" t="str">
            <v>Consultoría, Asesoría e Investigación Especializada</v>
          </cell>
        </row>
        <row r="54">
          <cell r="B54" t="str">
            <v>530602</v>
          </cell>
          <cell r="C54" t="str">
            <v>Servicio de Auditoria</v>
          </cell>
        </row>
        <row r="55">
          <cell r="B55" t="str">
            <v>530604</v>
          </cell>
          <cell r="C55" t="str">
            <v>Fiscalizacion e Inspecciones Tecnicas</v>
          </cell>
        </row>
        <row r="56">
          <cell r="B56">
            <v>530606</v>
          </cell>
          <cell r="C56" t="str">
            <v>Honorarios por contratos civiles de servicios</v>
          </cell>
        </row>
        <row r="57">
          <cell r="B57" t="str">
            <v>530607</v>
          </cell>
          <cell r="C57" t="str">
            <v>Servicios Tecnicos Especializados</v>
          </cell>
        </row>
        <row r="58">
          <cell r="B58">
            <v>530609</v>
          </cell>
          <cell r="C58" t="str">
            <v>Investigaciones Profesionales y Analisis de Laboratorio</v>
          </cell>
        </row>
        <row r="59">
          <cell r="B59" t="str">
            <v>530611</v>
          </cell>
          <cell r="C59" t="str">
            <v>Congresos, Seminarios y Convenciones</v>
          </cell>
        </row>
        <row r="60">
          <cell r="B60">
            <v>530612</v>
          </cell>
          <cell r="C60" t="str">
            <v>Capacitación a Servidores Públicos</v>
          </cell>
        </row>
        <row r="61">
          <cell r="B61">
            <v>530701</v>
          </cell>
          <cell r="C61" t="str">
            <v>Desarrollo, Actualización, Asistencia Técnica y Soporte de Sistemas Informáticos</v>
          </cell>
        </row>
        <row r="62">
          <cell r="B62">
            <v>530702</v>
          </cell>
          <cell r="C62" t="str">
            <v>Arrendamiento y Licencias de Uso de Paquetes Informaticos</v>
          </cell>
        </row>
        <row r="63">
          <cell r="B63">
            <v>530703</v>
          </cell>
          <cell r="C63" t="str">
            <v>Arrendamiento de Equipos Informaticos</v>
          </cell>
        </row>
        <row r="64">
          <cell r="B64">
            <v>530704</v>
          </cell>
          <cell r="C64" t="str">
            <v>Mantenimiento y Reparacion de Equipos y Sistemas Informaticos</v>
          </cell>
        </row>
        <row r="65">
          <cell r="B65">
            <v>530801</v>
          </cell>
          <cell r="C65" t="str">
            <v>Alimentos y Bebidas</v>
          </cell>
        </row>
        <row r="66">
          <cell r="B66">
            <v>530802</v>
          </cell>
          <cell r="C66" t="str">
            <v>Vestuario- Lenceria- Prendas de Proteccion- y- Accesorios para Uniformes del personal de proteccion vigilancia y seguridad</v>
          </cell>
        </row>
        <row r="67">
          <cell r="B67" t="str">
            <v>530803</v>
          </cell>
          <cell r="C67" t="str">
            <v>Combustibles y Lubricantes</v>
          </cell>
        </row>
        <row r="68">
          <cell r="B68">
            <v>530804</v>
          </cell>
          <cell r="C68" t="str">
            <v>Materiales de Oficina</v>
          </cell>
        </row>
        <row r="69">
          <cell r="B69">
            <v>530805</v>
          </cell>
          <cell r="C69" t="str">
            <v>Materiales de Aseo</v>
          </cell>
        </row>
        <row r="70">
          <cell r="B70" t="str">
            <v>530807</v>
          </cell>
          <cell r="C70" t="str">
            <v>Materiales de Impresion- Fotografia- Reproduccion y Publicaciones</v>
          </cell>
        </row>
        <row r="71">
          <cell r="B71">
            <v>530809</v>
          </cell>
          <cell r="C71" t="str">
            <v>Medicamentos</v>
          </cell>
        </row>
        <row r="72">
          <cell r="B72">
            <v>530811</v>
          </cell>
          <cell r="C72" t="str">
            <v>Insumos Materiales y Suministros para Construccion Electricidad Plomeria Carpinteria Senalizacion Vial Navegacion Contra Incendios y placas</v>
          </cell>
        </row>
        <row r="73">
          <cell r="B73">
            <v>530813</v>
          </cell>
          <cell r="C73" t="str">
            <v>Repuestos y Accesorios</v>
          </cell>
        </row>
        <row r="74">
          <cell r="B74" t="str">
            <v>530821</v>
          </cell>
          <cell r="C74" t="str">
            <v>Egresos para Situaciones de Emergencia</v>
          </cell>
        </row>
        <row r="75">
          <cell r="B75">
            <v>530826</v>
          </cell>
          <cell r="C75" t="str">
            <v>Dispositivos Medicos de Uso General</v>
          </cell>
        </row>
        <row r="76">
          <cell r="B76">
            <v>530829</v>
          </cell>
          <cell r="C76" t="str">
            <v>Insumos Materiales Suministros y bienes para Investigacion</v>
          </cell>
        </row>
        <row r="77">
          <cell r="B77">
            <v>531403</v>
          </cell>
          <cell r="C77" t="str">
            <v>Mobiliarios</v>
          </cell>
        </row>
        <row r="78">
          <cell r="B78">
            <v>531406</v>
          </cell>
          <cell r="C78" t="str">
            <v>Herramientas y Equipos Menores</v>
          </cell>
        </row>
        <row r="79">
          <cell r="B79">
            <v>531407</v>
          </cell>
          <cell r="C79" t="str">
            <v>Equipos, Sistemas y Paquetes Informáticos</v>
          </cell>
        </row>
        <row r="80">
          <cell r="B80" t="str">
            <v>531601</v>
          </cell>
          <cell r="C80" t="str">
            <v>Fondos de Reposicion Cajas Chicas</v>
          </cell>
        </row>
        <row r="81">
          <cell r="B81">
            <v>570102</v>
          </cell>
          <cell r="C81" t="str">
            <v>Tasas Generales- Impuestos- Contribuciones- Permisos- Licencias y Patentes</v>
          </cell>
        </row>
        <row r="82">
          <cell r="B82">
            <v>570201</v>
          </cell>
          <cell r="C82" t="str">
            <v>Seguros</v>
          </cell>
        </row>
        <row r="83">
          <cell r="B83">
            <v>570206</v>
          </cell>
          <cell r="C83" t="str">
            <v>Costas Judiciales Tramites Notariales Legalizacion de Documentos y Arreglos Extrajudiciales</v>
          </cell>
        </row>
        <row r="84">
          <cell r="B84" t="str">
            <v>570215</v>
          </cell>
          <cell r="C84" t="str">
            <v>Indemnizaciones por Sentencias Judiciales</v>
          </cell>
        </row>
        <row r="85">
          <cell r="B85" t="str">
            <v>570218</v>
          </cell>
          <cell r="C85" t="str">
            <v>Intereses por Mora Patronal al IESS</v>
          </cell>
        </row>
        <row r="86">
          <cell r="B86" t="str">
            <v>570219</v>
          </cell>
          <cell r="C86" t="str">
            <v>Devoluciones</v>
          </cell>
        </row>
        <row r="87">
          <cell r="B87">
            <v>580209</v>
          </cell>
          <cell r="C87" t="str">
            <v>A Jubilados Patronales</v>
          </cell>
        </row>
        <row r="88">
          <cell r="B88" t="str">
            <v>580204</v>
          </cell>
          <cell r="C88" t="str">
            <v>Al Sector Privado no Financiero</v>
          </cell>
        </row>
        <row r="89">
          <cell r="B89" t="str">
            <v>530701</v>
          </cell>
          <cell r="C89" t="str">
            <v>Desarrollo, Actualización, Asistencia Técnica y Soporte de Sistemas Informáticos</v>
          </cell>
        </row>
        <row r="90">
          <cell r="B90">
            <v>840103</v>
          </cell>
          <cell r="C90" t="str">
            <v>Mobiliarios</v>
          </cell>
        </row>
        <row r="91">
          <cell r="B91">
            <v>840104</v>
          </cell>
          <cell r="C91" t="str">
            <v>Maquinarias y Equipos</v>
          </cell>
        </row>
        <row r="92">
          <cell r="B92">
            <v>840105</v>
          </cell>
          <cell r="C92" t="str">
            <v>Vehículos</v>
          </cell>
        </row>
        <row r="93">
          <cell r="B93">
            <v>840107</v>
          </cell>
          <cell r="C93" t="str">
            <v>Equipos, Sistemas y Paquetes Informáticos</v>
          </cell>
        </row>
        <row r="94">
          <cell r="B94" t="str">
            <v>710509</v>
          </cell>
          <cell r="C94" t="str">
            <v>Horas Extraordinarias y Suplementarias</v>
          </cell>
        </row>
        <row r="95">
          <cell r="B95" t="str">
            <v>990101</v>
          </cell>
          <cell r="C95" t="str">
            <v>Obligaciones de Ejercicios Anteriores por Egresos de Personal</v>
          </cell>
        </row>
        <row r="96">
          <cell r="B96">
            <v>990102</v>
          </cell>
          <cell r="C96" t="str">
            <v>Obligaciones de Ejercicios Anteriores por Egresos en Servicios</v>
          </cell>
        </row>
        <row r="97">
          <cell r="B97" t="str">
            <v>580209</v>
          </cell>
          <cell r="C97" t="str">
            <v>A Jubilados Patronales</v>
          </cell>
        </row>
        <row r="98">
          <cell r="B98">
            <v>530803</v>
          </cell>
          <cell r="C98" t="str">
            <v>Lubricantes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jecución Presupuestaria UG"/>
      <sheetName val="Certificaciones POA"/>
      <sheetName val="% Ejecución"/>
      <sheetName val="CATALOGO"/>
      <sheetName val="Hoja1"/>
      <sheetName val="Matriz necesidades 2025"/>
      <sheetName val="Modicaciones"/>
    </sheetNames>
    <sheetDataSet>
      <sheetData sheetId="0"/>
      <sheetData sheetId="1">
        <row r="2">
          <cell r="F2" t="str">
            <v>2025-GC-141</v>
          </cell>
        </row>
      </sheetData>
      <sheetData sheetId="2"/>
      <sheetData sheetId="3">
        <row r="2">
          <cell r="B2" t="str">
            <v>510105</v>
          </cell>
          <cell r="C2" t="str">
            <v>Remuneraciones Unificadas</v>
          </cell>
        </row>
        <row r="3">
          <cell r="B3" t="str">
            <v>510106</v>
          </cell>
          <cell r="C3" t="str">
            <v>Salarios Unificados</v>
          </cell>
        </row>
        <row r="4">
          <cell r="B4" t="str">
            <v>510203</v>
          </cell>
          <cell r="C4" t="str">
            <v>Decimo Tercer Sueldo</v>
          </cell>
        </row>
        <row r="5">
          <cell r="B5" t="str">
            <v>510204</v>
          </cell>
          <cell r="C5" t="str">
            <v>Decimo Cuarto Sueldo</v>
          </cell>
        </row>
        <row r="6">
          <cell r="B6" t="str">
            <v>510304</v>
          </cell>
          <cell r="C6" t="str">
            <v>Compensacion por Transporte</v>
          </cell>
        </row>
        <row r="7">
          <cell r="B7" t="str">
            <v>510306</v>
          </cell>
          <cell r="C7" t="str">
            <v>Alimentacion</v>
          </cell>
        </row>
        <row r="8">
          <cell r="B8" t="str">
            <v>510401</v>
          </cell>
          <cell r="C8" t="str">
            <v>Por Cargas Familiares</v>
          </cell>
        </row>
        <row r="9">
          <cell r="B9" t="str">
            <v>510408</v>
          </cell>
          <cell r="C9" t="str">
            <v>Subsidio de Antiguedad</v>
          </cell>
        </row>
        <row r="10">
          <cell r="B10">
            <v>510702</v>
          </cell>
          <cell r="C10" t="str">
            <v>Supresion de Puesto</v>
          </cell>
        </row>
        <row r="11">
          <cell r="B11" t="str">
            <v>510509</v>
          </cell>
          <cell r="C11" t="str">
            <v>Horas Extraordinarias y Suplementarias</v>
          </cell>
        </row>
        <row r="12">
          <cell r="B12" t="str">
            <v>510510</v>
          </cell>
          <cell r="C12" t="str">
            <v>Servicios Personales por Contrato</v>
          </cell>
        </row>
        <row r="13">
          <cell r="B13" t="str">
            <v>510512</v>
          </cell>
          <cell r="C13" t="str">
            <v>Subrogacion</v>
          </cell>
        </row>
        <row r="14">
          <cell r="B14" t="str">
            <v>510513</v>
          </cell>
          <cell r="C14" t="str">
            <v>Encargos</v>
          </cell>
        </row>
        <row r="15">
          <cell r="B15" t="str">
            <v>510601</v>
          </cell>
          <cell r="C15" t="str">
            <v>Aporte Patronal</v>
          </cell>
        </row>
        <row r="16">
          <cell r="B16" t="str">
            <v>510602</v>
          </cell>
          <cell r="C16" t="str">
            <v>Fondo de Reserva</v>
          </cell>
        </row>
        <row r="17">
          <cell r="B17" t="str">
            <v>510702</v>
          </cell>
          <cell r="C17" t="str">
            <v>Supresion de Puesto</v>
          </cell>
        </row>
        <row r="18">
          <cell r="B18" t="str">
            <v>510704</v>
          </cell>
          <cell r="C18" t="str">
            <v>Compensacion por Desahucio</v>
          </cell>
        </row>
        <row r="19">
          <cell r="B19" t="str">
            <v>510706</v>
          </cell>
          <cell r="C19" t="str">
            <v>Beneficio por Jubilacion</v>
          </cell>
        </row>
        <row r="20">
          <cell r="B20" t="str">
            <v>510707</v>
          </cell>
          <cell r="C20" t="str">
            <v xml:space="preserve">Compensacion por Vacaciones no Gozadas por Cesacion de Funciones </v>
          </cell>
        </row>
        <row r="21">
          <cell r="B21">
            <v>530101</v>
          </cell>
          <cell r="C21" t="str">
            <v>Agua Potable</v>
          </cell>
        </row>
        <row r="22">
          <cell r="B22">
            <v>530104</v>
          </cell>
          <cell r="C22" t="str">
            <v>Energia Electrica</v>
          </cell>
        </row>
        <row r="23">
          <cell r="B23">
            <v>530105</v>
          </cell>
          <cell r="C23" t="str">
            <v>Telecomunicaciones</v>
          </cell>
        </row>
        <row r="24">
          <cell r="B24">
            <v>530106</v>
          </cell>
          <cell r="C24" t="str">
            <v>Servicio de Correo</v>
          </cell>
        </row>
        <row r="25">
          <cell r="B25">
            <v>530201</v>
          </cell>
          <cell r="C25" t="str">
            <v>Transporte de Personal</v>
          </cell>
        </row>
        <row r="26">
          <cell r="B26" t="str">
            <v>530202</v>
          </cell>
          <cell r="C26" t="str">
            <v>Fletes y Maniobras</v>
          </cell>
        </row>
        <row r="27">
          <cell r="B27">
            <v>530203</v>
          </cell>
          <cell r="C27" t="str">
            <v>Almacenamiento - Embalaje - Desembalaje Envase Desenvase y Recarga de Extintores</v>
          </cell>
        </row>
        <row r="28">
          <cell r="B28">
            <v>530204</v>
          </cell>
          <cell r="C28" t="str">
            <v>Edicion - Impresion - Reproduccion -Publicaciones - Suscripciones - Fotocopiado - Traduccion - Empastado - Enmarcacion - Serigrafia - Fotografia - Carnetizacion - Filmacion e Imagenes Satelitales</v>
          </cell>
        </row>
        <row r="29">
          <cell r="B29">
            <v>530208</v>
          </cell>
          <cell r="C29" t="str">
            <v>Servicio de Seguridad y Vigilancia</v>
          </cell>
        </row>
        <row r="30">
          <cell r="B30">
            <v>530209</v>
          </cell>
          <cell r="C30" t="str">
            <v>Servicios de Aseo -Lavado de Vestimenta de Trabajo- Fumigacion -Desinfeccion Limpieza de Instalaciones manejo de desechos contaminados recuperacion y clasificacion de materiales reciclables</v>
          </cell>
        </row>
        <row r="31">
          <cell r="B31">
            <v>530210</v>
          </cell>
          <cell r="C31" t="str">
            <v>Servicio de Guardería</v>
          </cell>
        </row>
        <row r="32">
          <cell r="B32" t="str">
            <v>530226</v>
          </cell>
          <cell r="C32" t="str">
            <v>Servicios Medicos Hospitalarios y Complementarios</v>
          </cell>
        </row>
        <row r="33">
          <cell r="B33">
            <v>530239</v>
          </cell>
          <cell r="C33" t="str">
            <v>Membrecias</v>
          </cell>
        </row>
        <row r="34">
          <cell r="B34">
            <v>530246</v>
          </cell>
          <cell r="C34" t="str">
            <v>Servicios de Identificacion- Marcacion- Autentificacion- Rastreo- Monitoreo- Seguimiento y-o Trazabilidad</v>
          </cell>
        </row>
        <row r="35">
          <cell r="B35" t="str">
            <v>530243</v>
          </cell>
          <cell r="C35" t="str">
            <v>Garantía Extendida de Bienes</v>
          </cell>
        </row>
        <row r="36">
          <cell r="B36" t="str">
            <v>530244</v>
          </cell>
          <cell r="C36" t="str">
            <v>Servicio de Confección de Menaje de Hogar y/o Prendas de Protección</v>
          </cell>
        </row>
        <row r="37">
          <cell r="B37" t="str">
            <v>530249</v>
          </cell>
          <cell r="C37" t="str">
            <v>Eventos Públicos Promocionales</v>
          </cell>
        </row>
        <row r="38">
          <cell r="B38" t="str">
            <v>530205</v>
          </cell>
          <cell r="C38" t="str">
            <v>Espectáculos Culturales y Sociales</v>
          </cell>
        </row>
        <row r="39">
          <cell r="B39">
            <v>530255</v>
          </cell>
          <cell r="C39" t="str">
            <v>Combustibles y Lubricantes</v>
          </cell>
        </row>
        <row r="40">
          <cell r="B40" t="str">
            <v>530253</v>
          </cell>
          <cell r="C40" t="str">
            <v>Servicios Generales para Subastas, Arriendos y Remates</v>
          </cell>
        </row>
        <row r="41">
          <cell r="B41" t="str">
            <v>530231</v>
          </cell>
          <cell r="C41" t="str">
            <v>Servicios de Protección y Asistencia Técnica a Víctimas, Testigos y Otros Participantes en Procesos Penales</v>
          </cell>
        </row>
        <row r="42">
          <cell r="B42" t="str">
            <v>530233</v>
          </cell>
          <cell r="C42" t="str">
            <v>Servicios en Actividades Mineras e Hidrocarburíferas</v>
          </cell>
        </row>
        <row r="43">
          <cell r="B43">
            <v>530301</v>
          </cell>
          <cell r="C43" t="str">
            <v>Pasajes al Interior</v>
          </cell>
        </row>
        <row r="44">
          <cell r="B44">
            <v>530302</v>
          </cell>
          <cell r="C44" t="str">
            <v>Pasajes al Exterior</v>
          </cell>
        </row>
        <row r="45">
          <cell r="B45">
            <v>530303</v>
          </cell>
          <cell r="C45" t="str">
            <v>Viaticos y Subsistencias en el Interior</v>
          </cell>
        </row>
        <row r="46">
          <cell r="B46">
            <v>530304</v>
          </cell>
          <cell r="C46" t="str">
            <v>Viaticos y Subsistencias en el Exterior</v>
          </cell>
        </row>
        <row r="47">
          <cell r="B47" t="str">
            <v>530306</v>
          </cell>
          <cell r="C47" t="str">
            <v>Viáticos por Gastos de Residencia</v>
          </cell>
        </row>
        <row r="48">
          <cell r="B48">
            <v>530402</v>
          </cell>
          <cell r="C48" t="str">
            <v>Edificios- Locales- Residencias y Cableado Estructurado (Instalacion - Mantenimiento y Reparacion)</v>
          </cell>
        </row>
        <row r="49">
          <cell r="B49">
            <v>530404</v>
          </cell>
          <cell r="C49" t="str">
            <v>Maquinarias y Equipos (Instalacion- Mantenimiento y Reparacion)</v>
          </cell>
        </row>
        <row r="50">
          <cell r="B50">
            <v>530405</v>
          </cell>
          <cell r="C50" t="str">
            <v>Vehiculos (Servicio para Mantenimiento y Reparacion)</v>
          </cell>
        </row>
        <row r="51">
          <cell r="B51">
            <v>530502</v>
          </cell>
          <cell r="C51" t="str">
            <v>Edificios- Locales y Residencias- Parqueaderos- Casilleros Judiciales y Bancarios (Arrendamiento)</v>
          </cell>
        </row>
        <row r="52">
          <cell r="B52" t="str">
            <v>530504</v>
          </cell>
          <cell r="C52" t="str">
            <v>Maquinarias y Equipos (Arrendamiento)</v>
          </cell>
        </row>
        <row r="53">
          <cell r="B53">
            <v>530601</v>
          </cell>
          <cell r="C53" t="str">
            <v>Consultoría, Asesoría e Investigación Especializada</v>
          </cell>
        </row>
        <row r="54">
          <cell r="B54" t="str">
            <v>530602</v>
          </cell>
          <cell r="C54" t="str">
            <v>Servicio de Auditoria</v>
          </cell>
        </row>
        <row r="55">
          <cell r="B55" t="str">
            <v>530604</v>
          </cell>
          <cell r="C55" t="str">
            <v>Fiscalizacion e Inspecciones Tecnicas</v>
          </cell>
        </row>
        <row r="56">
          <cell r="B56">
            <v>530606</v>
          </cell>
          <cell r="C56" t="str">
            <v>Honorarios por contratos civiles de servicios</v>
          </cell>
        </row>
        <row r="57">
          <cell r="B57" t="str">
            <v>530607</v>
          </cell>
          <cell r="C57" t="str">
            <v>Servicios Tecnicos Especializados</v>
          </cell>
        </row>
        <row r="58">
          <cell r="B58">
            <v>530609</v>
          </cell>
          <cell r="C58" t="str">
            <v>Investigaciones Profesionales y Analisis de Laboratorio</v>
          </cell>
        </row>
        <row r="59">
          <cell r="B59" t="str">
            <v>530611</v>
          </cell>
          <cell r="C59" t="str">
            <v>Congresos, Seminarios y Convenciones</v>
          </cell>
        </row>
        <row r="60">
          <cell r="B60">
            <v>530612</v>
          </cell>
          <cell r="C60" t="str">
            <v>Capacitación a Servidores Públicos</v>
          </cell>
        </row>
        <row r="61">
          <cell r="B61">
            <v>530701</v>
          </cell>
          <cell r="C61" t="str">
            <v>Desarrollo, Actualización, Asistencia Técnica y Soporte de Sistemas Informáticos</v>
          </cell>
        </row>
        <row r="62">
          <cell r="B62">
            <v>530702</v>
          </cell>
          <cell r="C62" t="str">
            <v>Arrendamiento y Licencias de Uso de Paquetes Informaticos</v>
          </cell>
        </row>
        <row r="63">
          <cell r="B63">
            <v>530703</v>
          </cell>
          <cell r="C63" t="str">
            <v>Arrendamiento de Equipos Informaticos</v>
          </cell>
        </row>
        <row r="64">
          <cell r="B64">
            <v>530704</v>
          </cell>
          <cell r="C64" t="str">
            <v>Mantenimiento y Reparacion de Equipos y Sistemas Informaticos</v>
          </cell>
        </row>
        <row r="65">
          <cell r="B65">
            <v>530801</v>
          </cell>
          <cell r="C65" t="str">
            <v>Alimentos y Bebidas</v>
          </cell>
        </row>
        <row r="66">
          <cell r="B66">
            <v>530802</v>
          </cell>
          <cell r="C66" t="str">
            <v>Vestuario- Lenceria- Prendas de Proteccion- y- Accesorios para Uniformes del personal de proteccion vigilancia y seguridad</v>
          </cell>
        </row>
        <row r="67">
          <cell r="B67" t="str">
            <v>530803</v>
          </cell>
          <cell r="C67" t="str">
            <v>Combustibles y Lubricantes</v>
          </cell>
        </row>
        <row r="68">
          <cell r="B68">
            <v>530804</v>
          </cell>
          <cell r="C68" t="str">
            <v>Materiales de Oficina</v>
          </cell>
        </row>
        <row r="69">
          <cell r="B69">
            <v>530805</v>
          </cell>
          <cell r="C69" t="str">
            <v>Materiales de Aseo</v>
          </cell>
        </row>
        <row r="70">
          <cell r="B70" t="str">
            <v>530807</v>
          </cell>
          <cell r="C70" t="str">
            <v>Materiales de Impresion- Fotografia- Reproduccion y Publicaciones</v>
          </cell>
        </row>
        <row r="71">
          <cell r="B71">
            <v>530809</v>
          </cell>
          <cell r="C71" t="str">
            <v>Medicamentos</v>
          </cell>
        </row>
        <row r="72">
          <cell r="B72">
            <v>530811</v>
          </cell>
          <cell r="C72" t="str">
            <v>Insumos Materiales y Suministros para Construccion Electricidad Plomeria Carpinteria Senalizacion Vial Navegacion Contra Incendios y placas</v>
          </cell>
        </row>
        <row r="73">
          <cell r="B73">
            <v>530813</v>
          </cell>
          <cell r="C73" t="str">
            <v>Repuestos y Accesorios</v>
          </cell>
        </row>
        <row r="74">
          <cell r="B74" t="str">
            <v>530821</v>
          </cell>
          <cell r="C74" t="str">
            <v>Egresos para Situaciones de Emergencia</v>
          </cell>
        </row>
        <row r="75">
          <cell r="B75">
            <v>530826</v>
          </cell>
          <cell r="C75" t="str">
            <v>Dispositivos Medicos de Uso General</v>
          </cell>
        </row>
        <row r="76">
          <cell r="B76">
            <v>530829</v>
          </cell>
          <cell r="C76" t="str">
            <v>Insumos Materiales Suministros y bienes para Investigacion</v>
          </cell>
        </row>
        <row r="77">
          <cell r="B77">
            <v>531403</v>
          </cell>
          <cell r="C77" t="str">
            <v>Mobiliarios</v>
          </cell>
        </row>
        <row r="78">
          <cell r="B78">
            <v>531406</v>
          </cell>
          <cell r="C78" t="str">
            <v>Herramientas y Equipos Menores</v>
          </cell>
        </row>
        <row r="79">
          <cell r="B79">
            <v>531407</v>
          </cell>
          <cell r="C79" t="str">
            <v>Equipos, Sistemas y Paquetes Informáticos</v>
          </cell>
        </row>
        <row r="80">
          <cell r="B80" t="str">
            <v>531601</v>
          </cell>
          <cell r="C80" t="str">
            <v>Fondos de Reposicion Cajas Chicas</v>
          </cell>
        </row>
        <row r="81">
          <cell r="B81">
            <v>570102</v>
          </cell>
          <cell r="C81" t="str">
            <v>Tasas Generales- Impuestos- Contribuciones- Permisos- Licencias y Patentes</v>
          </cell>
        </row>
        <row r="82">
          <cell r="B82">
            <v>570201</v>
          </cell>
          <cell r="C82" t="str">
            <v>Seguros</v>
          </cell>
        </row>
        <row r="83">
          <cell r="B83">
            <v>570206</v>
          </cell>
          <cell r="C83" t="str">
            <v>Costas Judiciales Tramites Notariales Legalizacion de Documentos y Arreglos Extrajudiciales</v>
          </cell>
        </row>
        <row r="84">
          <cell r="B84" t="str">
            <v>570215</v>
          </cell>
          <cell r="C84" t="str">
            <v>Indemnizaciones por Sentencias Judiciales</v>
          </cell>
        </row>
        <row r="85">
          <cell r="B85" t="str">
            <v>570218</v>
          </cell>
          <cell r="C85" t="str">
            <v>Intereses por Mora Patronal al IESS</v>
          </cell>
        </row>
        <row r="86">
          <cell r="B86" t="str">
            <v>570219</v>
          </cell>
          <cell r="C86" t="str">
            <v>Devoluciones</v>
          </cell>
        </row>
        <row r="87">
          <cell r="B87">
            <v>580209</v>
          </cell>
          <cell r="C87" t="str">
            <v>A Jubilados Patronales</v>
          </cell>
        </row>
        <row r="88">
          <cell r="B88" t="str">
            <v>580204</v>
          </cell>
          <cell r="C88" t="str">
            <v>Al Sector Privado no Financiero</v>
          </cell>
        </row>
        <row r="89">
          <cell r="B89" t="str">
            <v>530701</v>
          </cell>
          <cell r="C89" t="str">
            <v>Desarrollo, Actualización, Asistencia Técnica y Soporte de Sistemas Informáticos</v>
          </cell>
        </row>
        <row r="90">
          <cell r="B90">
            <v>840103</v>
          </cell>
          <cell r="C90" t="str">
            <v>Mobiliarios</v>
          </cell>
        </row>
        <row r="91">
          <cell r="B91">
            <v>840104</v>
          </cell>
          <cell r="C91" t="str">
            <v>Maquinarias y Equipos</v>
          </cell>
        </row>
        <row r="92">
          <cell r="B92">
            <v>840105</v>
          </cell>
          <cell r="C92" t="str">
            <v>Vehículos</v>
          </cell>
        </row>
        <row r="93">
          <cell r="B93">
            <v>840107</v>
          </cell>
          <cell r="C93" t="str">
            <v>Equipos, Sistemas y Paquetes Informáticos</v>
          </cell>
        </row>
        <row r="94">
          <cell r="B94" t="str">
            <v>710509</v>
          </cell>
          <cell r="C94" t="str">
            <v>Horas Extraordinarias y Suplementarias</v>
          </cell>
        </row>
        <row r="95">
          <cell r="B95" t="str">
            <v>990101</v>
          </cell>
          <cell r="C95" t="str">
            <v>Obligaciones de Ejercicios Anteriores por Egresos de Personal</v>
          </cell>
        </row>
        <row r="96">
          <cell r="B96">
            <v>990102</v>
          </cell>
          <cell r="C96" t="str">
            <v>Obligaciones de Ejercicios Anteriores por Egresos en Servicios</v>
          </cell>
        </row>
        <row r="97">
          <cell r="B97" t="str">
            <v>580209</v>
          </cell>
          <cell r="C97" t="str">
            <v>A Jubilados Patronales</v>
          </cell>
        </row>
        <row r="98">
          <cell r="B98">
            <v>530803</v>
          </cell>
          <cell r="C98" t="str">
            <v>Lubricantes</v>
          </cell>
        </row>
      </sheetData>
      <sheetData sheetId="4"/>
      <sheetData sheetId="5">
        <row r="349">
          <cell r="A349" t="str">
            <v>2025-GC-344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BC0A6-77EE-4B2B-BF92-B050FEBA0FCC}">
  <dimension ref="A1:X354"/>
  <sheetViews>
    <sheetView tabSelected="1" topLeftCell="A71" workbookViewId="0">
      <selection activeCell="A75" sqref="A75"/>
    </sheetView>
  </sheetViews>
  <sheetFormatPr baseColWidth="10" defaultRowHeight="15" x14ac:dyDescent="0.25"/>
  <sheetData>
    <row r="1" spans="1:24" ht="56.2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4" ht="78.75" x14ac:dyDescent="0.25">
      <c r="A2" s="5" t="s">
        <v>24</v>
      </c>
      <c r="B2" s="5" t="s">
        <v>25</v>
      </c>
      <c r="C2" s="5" t="s">
        <v>26</v>
      </c>
      <c r="D2" s="5">
        <v>1</v>
      </c>
      <c r="E2" s="5">
        <v>1</v>
      </c>
      <c r="F2" s="5">
        <v>1701</v>
      </c>
      <c r="G2" s="5" t="str">
        <f>LEFT(H2,2)</f>
        <v>53</v>
      </c>
      <c r="H2" s="5">
        <v>530702</v>
      </c>
      <c r="I2" s="6" t="str">
        <f>+IFERROR(VLOOKUP(H2,[1]CATALOGO!$B$2:$C$98,2,0),"")</f>
        <v>Arrendamiento y Licencias de Uso de Paquetes Informaticos</v>
      </c>
      <c r="J2" s="5">
        <v>2</v>
      </c>
      <c r="K2" s="8">
        <v>19000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</row>
    <row r="3" spans="1:24" ht="33.75" x14ac:dyDescent="0.25">
      <c r="A3" s="5" t="s">
        <v>27</v>
      </c>
      <c r="B3" s="5" t="s">
        <v>28</v>
      </c>
      <c r="C3" s="5" t="s">
        <v>29</v>
      </c>
      <c r="D3" s="5">
        <v>1</v>
      </c>
      <c r="E3" s="11">
        <v>1</v>
      </c>
      <c r="F3" s="12">
        <v>1700</v>
      </c>
      <c r="G3" s="5" t="str">
        <f t="shared" ref="G3:G72" si="0">LEFT(H3,2)</f>
        <v>53</v>
      </c>
      <c r="H3" s="5">
        <v>530101</v>
      </c>
      <c r="I3" s="6" t="str">
        <f>+IFERROR(VLOOKUP(H3,[1]CATALOGO!$B$2:$C$98,2,0),"")</f>
        <v>Agua Potable</v>
      </c>
      <c r="J3" s="5">
        <v>2</v>
      </c>
      <c r="K3" s="8">
        <v>6000</v>
      </c>
      <c r="L3" s="8">
        <v>356.17999999999995</v>
      </c>
      <c r="M3" s="8">
        <v>0</v>
      </c>
      <c r="N3" s="8">
        <v>24.05</v>
      </c>
      <c r="O3" s="8">
        <v>12.08</v>
      </c>
      <c r="P3" s="8">
        <v>76.94</v>
      </c>
      <c r="Q3" s="8">
        <v>0</v>
      </c>
      <c r="R3" s="8">
        <f>63.87+17.98</f>
        <v>81.849999999999994</v>
      </c>
      <c r="S3" s="8">
        <v>13.99</v>
      </c>
      <c r="T3" s="8">
        <v>35.94</v>
      </c>
      <c r="U3" s="8">
        <v>37.15</v>
      </c>
      <c r="V3" s="8">
        <v>40.020000000000003</v>
      </c>
      <c r="W3" s="8">
        <v>34.159999999999997</v>
      </c>
      <c r="X3" s="8">
        <v>0</v>
      </c>
    </row>
    <row r="4" spans="1:24" ht="33.75" x14ac:dyDescent="0.25">
      <c r="A4" s="5" t="s">
        <v>30</v>
      </c>
      <c r="B4" s="5" t="s">
        <v>28</v>
      </c>
      <c r="C4" s="5" t="s">
        <v>29</v>
      </c>
      <c r="D4" s="5">
        <v>1</v>
      </c>
      <c r="E4" s="5">
        <v>1</v>
      </c>
      <c r="F4" s="5">
        <v>1700</v>
      </c>
      <c r="G4" s="5" t="str">
        <f t="shared" si="0"/>
        <v>53</v>
      </c>
      <c r="H4" s="5">
        <v>530104</v>
      </c>
      <c r="I4" s="6" t="str">
        <f>+IFERROR(VLOOKUP(H4,[1]CATALOGO!$B$2:$C$98,2,0),"")</f>
        <v>Energia Electrica</v>
      </c>
      <c r="J4" s="5">
        <v>1</v>
      </c>
      <c r="K4" s="8">
        <v>45500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</row>
    <row r="5" spans="1:24" ht="33.75" x14ac:dyDescent="0.25">
      <c r="A5" s="5" t="s">
        <v>31</v>
      </c>
      <c r="B5" s="5" t="s">
        <v>28</v>
      </c>
      <c r="C5" s="5" t="s">
        <v>29</v>
      </c>
      <c r="D5" s="5">
        <v>1</v>
      </c>
      <c r="E5" s="5">
        <v>1</v>
      </c>
      <c r="F5" s="5">
        <v>1700</v>
      </c>
      <c r="G5" s="5" t="str">
        <f>LEFT(H5,2)</f>
        <v>53</v>
      </c>
      <c r="H5" s="5">
        <v>530105</v>
      </c>
      <c r="I5" s="6" t="str">
        <f>+IFERROR(VLOOKUP(H5,[1]CATALOGO!$B$2:$C$98,2,0),"")</f>
        <v>Telecomunicaciones</v>
      </c>
      <c r="J5" s="6">
        <v>2</v>
      </c>
      <c r="K5" s="8">
        <v>-12750</v>
      </c>
      <c r="L5" s="8">
        <v>2360.9300000000003</v>
      </c>
      <c r="M5" s="8">
        <v>0</v>
      </c>
      <c r="N5" s="8">
        <f>621.82-400</f>
        <v>221.82000000000005</v>
      </c>
      <c r="O5" s="8">
        <v>211.02</v>
      </c>
      <c r="P5" s="8">
        <v>213.46</v>
      </c>
      <c r="Q5" s="8">
        <v>207.25</v>
      </c>
      <c r="R5" s="8">
        <v>208.82</v>
      </c>
      <c r="S5" s="8">
        <v>218.05</v>
      </c>
      <c r="T5" s="8">
        <v>237.18</v>
      </c>
      <c r="U5" s="8">
        <v>222.59</v>
      </c>
      <c r="V5" s="8">
        <v>199.45</v>
      </c>
      <c r="W5" s="8">
        <v>206.95</v>
      </c>
      <c r="X5" s="8">
        <v>214.34</v>
      </c>
    </row>
    <row r="6" spans="1:24" ht="78.75" x14ac:dyDescent="0.25">
      <c r="A6" s="5" t="s">
        <v>32</v>
      </c>
      <c r="B6" s="5" t="s">
        <v>28</v>
      </c>
      <c r="C6" s="5" t="s">
        <v>29</v>
      </c>
      <c r="D6" s="5">
        <v>1</v>
      </c>
      <c r="E6" s="5">
        <v>1</v>
      </c>
      <c r="F6" s="5">
        <v>1701</v>
      </c>
      <c r="G6" s="5" t="str">
        <f t="shared" si="0"/>
        <v>53</v>
      </c>
      <c r="H6" s="5">
        <v>530203</v>
      </c>
      <c r="I6" s="6" t="str">
        <f>+IFERROR(VLOOKUP(H6,[1]CATALOGO!$B$2:$C$98,2,0),"")</f>
        <v>Almacenamiento - Embalaje - Desembalaje Envase Desenvase y Recarga de Extintores</v>
      </c>
      <c r="J6" s="5">
        <v>2</v>
      </c>
      <c r="K6" s="8">
        <v>-1150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8">
        <v>0</v>
      </c>
      <c r="W6" s="9">
        <v>0</v>
      </c>
      <c r="X6" s="9">
        <v>0</v>
      </c>
    </row>
    <row r="7" spans="1:24" ht="33.75" x14ac:dyDescent="0.25">
      <c r="A7" s="5" t="s">
        <v>33</v>
      </c>
      <c r="B7" s="5" t="s">
        <v>28</v>
      </c>
      <c r="C7" s="5" t="s">
        <v>29</v>
      </c>
      <c r="D7" s="5">
        <v>1</v>
      </c>
      <c r="E7" s="5">
        <v>1</v>
      </c>
      <c r="F7" s="5">
        <v>1700</v>
      </c>
      <c r="G7" s="5" t="str">
        <f t="shared" si="0"/>
        <v>53</v>
      </c>
      <c r="H7" s="5">
        <v>530208</v>
      </c>
      <c r="I7" s="6" t="str">
        <f>+IFERROR(VLOOKUP(H7,[1]CATALOGO!$B$2:$C$98,2,0),"")</f>
        <v>Servicio de Seguridad y Vigilancia</v>
      </c>
      <c r="J7" s="5">
        <v>2</v>
      </c>
      <c r="K7" s="8">
        <v>-41548.769999999997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8">
        <v>0</v>
      </c>
      <c r="W7" s="9">
        <v>0</v>
      </c>
      <c r="X7" s="9">
        <v>0</v>
      </c>
    </row>
    <row r="8" spans="1:24" ht="33.75" x14ac:dyDescent="0.25">
      <c r="A8" s="5" t="s">
        <v>34</v>
      </c>
      <c r="B8" s="5" t="s">
        <v>28</v>
      </c>
      <c r="C8" s="5" t="s">
        <v>29</v>
      </c>
      <c r="D8" s="5">
        <v>1</v>
      </c>
      <c r="E8" s="5">
        <v>1</v>
      </c>
      <c r="F8" s="5">
        <v>1700</v>
      </c>
      <c r="G8" s="5" t="str">
        <f t="shared" si="0"/>
        <v>53</v>
      </c>
      <c r="H8" s="5">
        <v>530208</v>
      </c>
      <c r="I8" s="6" t="str">
        <f>+IFERROR(VLOOKUP(H8,[1]CATALOGO!$B$2:$C$98,2,0),"")</f>
        <v>Servicio de Seguridad y Vigilancia</v>
      </c>
      <c r="J8" s="5">
        <v>2</v>
      </c>
      <c r="K8" s="8">
        <v>28000</v>
      </c>
      <c r="L8" s="8">
        <v>27520.63</v>
      </c>
      <c r="M8" s="8">
        <v>0</v>
      </c>
      <c r="N8" s="8">
        <v>3931.52</v>
      </c>
      <c r="O8" s="8">
        <v>3931.52</v>
      </c>
      <c r="P8" s="8">
        <v>3931.5199999999995</v>
      </c>
      <c r="Q8" s="8">
        <v>3931.5199999999995</v>
      </c>
      <c r="R8" s="8">
        <v>3931.52</v>
      </c>
      <c r="S8" s="8">
        <v>3931.52</v>
      </c>
      <c r="T8" s="8">
        <v>3931.510000000002</v>
      </c>
      <c r="U8" s="8">
        <v>0</v>
      </c>
      <c r="V8" s="8">
        <v>0</v>
      </c>
      <c r="W8" s="8">
        <v>0</v>
      </c>
      <c r="X8" s="8">
        <v>0</v>
      </c>
    </row>
    <row r="9" spans="1:24" ht="33.75" x14ac:dyDescent="0.25">
      <c r="A9" s="5" t="s">
        <v>35</v>
      </c>
      <c r="B9" s="5" t="s">
        <v>28</v>
      </c>
      <c r="C9" s="5" t="s">
        <v>29</v>
      </c>
      <c r="D9" s="5">
        <v>1</v>
      </c>
      <c r="E9" s="5">
        <v>1</v>
      </c>
      <c r="F9" s="5">
        <v>1700</v>
      </c>
      <c r="G9" s="5" t="str">
        <f t="shared" si="0"/>
        <v>53</v>
      </c>
      <c r="H9" s="5">
        <v>530208</v>
      </c>
      <c r="I9" s="6" t="str">
        <f>+IFERROR(VLOOKUP(H9,[1]CATALOGO!$B$2:$C$98,2,0),"")</f>
        <v>Servicio de Seguridad y Vigilancia</v>
      </c>
      <c r="J9" s="5">
        <v>2</v>
      </c>
      <c r="K9" s="8">
        <v>18000</v>
      </c>
      <c r="L9" s="8">
        <v>15647.6</v>
      </c>
      <c r="M9" s="8">
        <v>0</v>
      </c>
      <c r="N9" s="8">
        <v>0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3911.9</v>
      </c>
      <c r="V9" s="8">
        <v>3911.8999999999978</v>
      </c>
      <c r="W9" s="8">
        <v>3911.9000000000015</v>
      </c>
      <c r="X9" s="8">
        <v>3911.9000000000015</v>
      </c>
    </row>
    <row r="10" spans="1:24" ht="168.75" x14ac:dyDescent="0.25">
      <c r="A10" s="5" t="s">
        <v>36</v>
      </c>
      <c r="B10" s="5" t="s">
        <v>28</v>
      </c>
      <c r="C10" s="5" t="s">
        <v>29</v>
      </c>
      <c r="D10" s="5">
        <v>1</v>
      </c>
      <c r="E10" s="5">
        <v>1</v>
      </c>
      <c r="F10" s="5">
        <v>1700</v>
      </c>
      <c r="G10" s="5" t="str">
        <f t="shared" si="0"/>
        <v>53</v>
      </c>
      <c r="H10" s="5">
        <v>530209</v>
      </c>
      <c r="I10" s="6" t="str">
        <f>+IFERROR(VLOOKUP(H10,[1]CATALOGO!$B$2:$C$98,2,0),"")</f>
        <v>Servicios de Aseo -Lavado de Vestimenta de Trabajo- Fumigacion -Desinfeccion Limpieza de Instalaciones manejo de desechos contaminados recuperacion y clasificacion de materiales reciclables</v>
      </c>
      <c r="J10" s="5">
        <v>2</v>
      </c>
      <c r="K10" s="8">
        <v>41548.769999999997</v>
      </c>
      <c r="L10" s="8">
        <v>42860.67</v>
      </c>
      <c r="M10" s="8">
        <v>0</v>
      </c>
      <c r="N10" s="8">
        <f>4664.73+6390.99</f>
        <v>11055.72</v>
      </c>
      <c r="O10" s="8">
        <v>6360.99</v>
      </c>
      <c r="P10" s="8">
        <v>6360.9900000000016</v>
      </c>
      <c r="Q10" s="8">
        <v>6360.9900000000016</v>
      </c>
      <c r="R10" s="8">
        <v>6360.99</v>
      </c>
      <c r="S10" s="8">
        <v>6360.99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</row>
    <row r="11" spans="1:24" ht="168.75" x14ac:dyDescent="0.25">
      <c r="A11" s="5" t="s">
        <v>37</v>
      </c>
      <c r="B11" s="5" t="s">
        <v>28</v>
      </c>
      <c r="C11" s="5" t="s">
        <v>29</v>
      </c>
      <c r="D11" s="5">
        <v>1</v>
      </c>
      <c r="E11" s="5">
        <v>1</v>
      </c>
      <c r="F11" s="5">
        <v>1700</v>
      </c>
      <c r="G11" s="5" t="str">
        <f t="shared" si="0"/>
        <v>53</v>
      </c>
      <c r="H11" s="5">
        <v>530209</v>
      </c>
      <c r="I11" s="6" t="str">
        <f>+IFERROR(VLOOKUP(H11,[1]CATALOGO!$B$2:$C$98,2,0),"")</f>
        <v>Servicios de Aseo -Lavado de Vestimenta de Trabajo- Fumigacion -Desinfeccion Limpieza de Instalaciones manejo de desechos contaminados recuperacion y clasificacion de materiales reciclables</v>
      </c>
      <c r="J11" s="5">
        <v>2</v>
      </c>
      <c r="K11" s="8">
        <v>39000</v>
      </c>
      <c r="L11" s="8">
        <v>34855.120000000003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6609.28</v>
      </c>
      <c r="U11" s="8">
        <v>7061.4600000000064</v>
      </c>
      <c r="V11" s="8">
        <v>7061.4599999999991</v>
      </c>
      <c r="W11" s="8">
        <v>7061.46</v>
      </c>
      <c r="X11" s="8">
        <v>7061.46</v>
      </c>
    </row>
    <row r="12" spans="1:24" ht="33.75" x14ac:dyDescent="0.25">
      <c r="A12" s="5" t="s">
        <v>38</v>
      </c>
      <c r="B12" s="5" t="s">
        <v>28</v>
      </c>
      <c r="C12" s="5" t="s">
        <v>29</v>
      </c>
      <c r="D12" s="5">
        <v>1</v>
      </c>
      <c r="E12" s="5">
        <v>1</v>
      </c>
      <c r="F12" s="5">
        <v>1701</v>
      </c>
      <c r="G12" s="5" t="str">
        <f t="shared" si="0"/>
        <v>53</v>
      </c>
      <c r="H12" s="5">
        <v>530255</v>
      </c>
      <c r="I12" s="6" t="str">
        <f>+IFERROR(VLOOKUP(H12,[1]CATALOGO!$B$2:$C$98,2,0),"")</f>
        <v>Combustibles y Lubricantes</v>
      </c>
      <c r="J12" s="5">
        <v>2</v>
      </c>
      <c r="K12" s="8">
        <v>-3000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8">
        <v>0</v>
      </c>
      <c r="W12" s="9">
        <v>0</v>
      </c>
      <c r="X12" s="9">
        <v>0</v>
      </c>
    </row>
    <row r="13" spans="1:24" ht="33.75" x14ac:dyDescent="0.25">
      <c r="A13" s="5" t="s">
        <v>39</v>
      </c>
      <c r="B13" s="5" t="s">
        <v>28</v>
      </c>
      <c r="C13" s="5" t="s">
        <v>29</v>
      </c>
      <c r="D13" s="5">
        <v>1</v>
      </c>
      <c r="E13" s="5">
        <v>1</v>
      </c>
      <c r="F13" s="5">
        <v>1701</v>
      </c>
      <c r="G13" s="5" t="str">
        <f>LEFT(H13,2)</f>
        <v>53</v>
      </c>
      <c r="H13" s="5">
        <v>530255</v>
      </c>
      <c r="I13" s="6" t="str">
        <f>+IFERROR(VLOOKUP(H13,[1]CATALOGO!$B$2:$C$98,2,0),"")</f>
        <v>Combustibles y Lubricantes</v>
      </c>
      <c r="J13" s="5">
        <v>2</v>
      </c>
      <c r="K13" s="8">
        <v>5648</v>
      </c>
      <c r="L13" s="8">
        <v>2000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2000</v>
      </c>
      <c r="X13" s="8">
        <v>0</v>
      </c>
    </row>
    <row r="14" spans="1:24" ht="33.75" x14ac:dyDescent="0.25">
      <c r="A14" s="5" t="s">
        <v>40</v>
      </c>
      <c r="B14" s="5" t="s">
        <v>28</v>
      </c>
      <c r="C14" s="5" t="s">
        <v>29</v>
      </c>
      <c r="D14" s="5">
        <v>1</v>
      </c>
      <c r="E14" s="5">
        <v>1</v>
      </c>
      <c r="F14" s="5">
        <v>1701</v>
      </c>
      <c r="G14" s="5" t="str">
        <f t="shared" si="0"/>
        <v>53</v>
      </c>
      <c r="H14" s="5">
        <v>530255</v>
      </c>
      <c r="I14" s="6" t="str">
        <f>+IFERROR(VLOOKUP(H14,[1]CATALOGO!$B$2:$C$98,2,0),"")</f>
        <v>Combustibles y Lubricantes</v>
      </c>
      <c r="J14" s="5">
        <v>2</v>
      </c>
      <c r="K14" s="8">
        <v>2318.6600000000035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8">
        <v>0</v>
      </c>
      <c r="W14" s="9">
        <v>0</v>
      </c>
      <c r="X14" s="9">
        <v>0</v>
      </c>
    </row>
    <row r="15" spans="1:24" ht="33.75" x14ac:dyDescent="0.25">
      <c r="A15" s="5" t="s">
        <v>41</v>
      </c>
      <c r="B15" s="5" t="s">
        <v>28</v>
      </c>
      <c r="C15" s="5" t="s">
        <v>29</v>
      </c>
      <c r="D15" s="5">
        <v>1</v>
      </c>
      <c r="E15" s="5">
        <v>1</v>
      </c>
      <c r="F15" s="5">
        <v>1701</v>
      </c>
      <c r="G15" s="5" t="str">
        <f>LEFT(H15,2)</f>
        <v>53</v>
      </c>
      <c r="H15" s="5">
        <v>530255</v>
      </c>
      <c r="I15" s="6" t="str">
        <f>+IFERROR(VLOOKUP(H15,[1]CATALOGO!$B$2:$C$98,2,0),"")</f>
        <v>Combustibles y Lubricantes</v>
      </c>
      <c r="J15" s="5">
        <v>2</v>
      </c>
      <c r="K15" s="8">
        <v>4648</v>
      </c>
      <c r="L15" s="8">
        <v>2000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</row>
    <row r="16" spans="1:24" ht="33.75" x14ac:dyDescent="0.25">
      <c r="A16" s="5" t="s">
        <v>42</v>
      </c>
      <c r="B16" s="5" t="s">
        <v>28</v>
      </c>
      <c r="C16" s="5" t="s">
        <v>29</v>
      </c>
      <c r="D16" s="5">
        <v>1</v>
      </c>
      <c r="E16" s="5">
        <v>1</v>
      </c>
      <c r="F16" s="5">
        <v>1701</v>
      </c>
      <c r="G16" s="5" t="str">
        <f t="shared" si="0"/>
        <v>53</v>
      </c>
      <c r="H16" s="5">
        <v>530255</v>
      </c>
      <c r="I16" s="6" t="str">
        <f>+IFERROR(VLOOKUP(H16,[1]CATALOGO!$B$2:$C$98,2,0),"")</f>
        <v>Combustibles y Lubricantes</v>
      </c>
      <c r="J16" s="5">
        <v>2</v>
      </c>
      <c r="K16" s="8">
        <v>2000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8">
        <v>0</v>
      </c>
      <c r="W16" s="9">
        <v>0</v>
      </c>
      <c r="X16" s="9">
        <v>0</v>
      </c>
    </row>
    <row r="17" spans="1:24" ht="22.5" x14ac:dyDescent="0.25">
      <c r="A17" s="5" t="s">
        <v>43</v>
      </c>
      <c r="B17" s="5" t="s">
        <v>44</v>
      </c>
      <c r="C17" s="5" t="s">
        <v>45</v>
      </c>
      <c r="D17" s="5">
        <v>1</v>
      </c>
      <c r="E17" s="5">
        <v>1</v>
      </c>
      <c r="F17" s="5">
        <v>1701</v>
      </c>
      <c r="G17" s="5" t="str">
        <f>LEFT(H17,2)</f>
        <v>53</v>
      </c>
      <c r="H17" s="5">
        <v>530255</v>
      </c>
      <c r="I17" s="6" t="str">
        <f>+IFERROR(VLOOKUP(H17,[1]CATALOGO!$B$2:$C$98,2,0),"")</f>
        <v>Combustibles y Lubricantes</v>
      </c>
      <c r="J17" s="5">
        <v>2</v>
      </c>
      <c r="K17" s="8">
        <v>4648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</row>
    <row r="18" spans="1:24" ht="33.75" x14ac:dyDescent="0.25">
      <c r="A18" s="5" t="s">
        <v>46</v>
      </c>
      <c r="B18" s="5" t="s">
        <v>28</v>
      </c>
      <c r="C18" s="5" t="s">
        <v>29</v>
      </c>
      <c r="D18" s="5">
        <v>1</v>
      </c>
      <c r="E18" s="5">
        <v>1</v>
      </c>
      <c r="F18" s="5">
        <v>1701</v>
      </c>
      <c r="G18" s="5" t="str">
        <f t="shared" si="0"/>
        <v>53</v>
      </c>
      <c r="H18" s="5">
        <v>530255</v>
      </c>
      <c r="I18" s="6" t="str">
        <f>+IFERROR(VLOOKUP(H18,[1]CATALOGO!$B$2:$C$98,2,0),"")</f>
        <v>Combustibles y Lubricantes</v>
      </c>
      <c r="J18" s="5">
        <v>2</v>
      </c>
      <c r="K18" s="8">
        <v>-512</v>
      </c>
      <c r="L18" s="8">
        <v>1748.12</v>
      </c>
      <c r="M18" s="8">
        <v>0</v>
      </c>
      <c r="N18" s="8">
        <v>0</v>
      </c>
      <c r="O18" s="8">
        <v>891.02</v>
      </c>
      <c r="P18" s="8">
        <v>857.1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</row>
    <row r="19" spans="1:24" ht="33.75" x14ac:dyDescent="0.25">
      <c r="A19" s="5" t="s">
        <v>47</v>
      </c>
      <c r="B19" s="5" t="s">
        <v>28</v>
      </c>
      <c r="C19" s="5" t="s">
        <v>29</v>
      </c>
      <c r="D19" s="5">
        <v>1</v>
      </c>
      <c r="E19" s="5">
        <v>1</v>
      </c>
      <c r="F19" s="5">
        <v>1701</v>
      </c>
      <c r="G19" s="5" t="str">
        <f>LEFT(H19,2)</f>
        <v>53</v>
      </c>
      <c r="H19" s="5">
        <v>530255</v>
      </c>
      <c r="I19" s="6" t="str">
        <f>+IFERROR(VLOOKUP(H19,[1]CATALOGO!$B$2:$C$98,2,0),"")</f>
        <v>Combustibles y Lubricantes</v>
      </c>
      <c r="J19" s="5">
        <v>2</v>
      </c>
      <c r="K19" s="8">
        <v>8762.7199999988097</v>
      </c>
      <c r="L19" s="8">
        <v>7212.59</v>
      </c>
      <c r="M19" s="8">
        <v>0</v>
      </c>
      <c r="N19" s="8">
        <v>0</v>
      </c>
      <c r="O19" s="8">
        <v>0</v>
      </c>
      <c r="P19" s="8">
        <f>7212.6-0.01</f>
        <v>7212.59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</row>
    <row r="20" spans="1:24" ht="33.75" x14ac:dyDescent="0.25">
      <c r="A20" s="5" t="s">
        <v>48</v>
      </c>
      <c r="B20" s="5" t="s">
        <v>28</v>
      </c>
      <c r="C20" s="5" t="s">
        <v>29</v>
      </c>
      <c r="D20" s="5">
        <v>1</v>
      </c>
      <c r="E20" s="11">
        <v>1</v>
      </c>
      <c r="F20" s="12">
        <v>1701</v>
      </c>
      <c r="G20" s="5" t="str">
        <f t="shared" si="0"/>
        <v>53</v>
      </c>
      <c r="H20" s="5">
        <v>530301</v>
      </c>
      <c r="I20" s="6" t="str">
        <f>+IFERROR(VLOOKUP(H20,[1]CATALOGO!$B$2:$C$98,2,0),"")</f>
        <v>Pasajes al Interior</v>
      </c>
      <c r="J20" s="5">
        <v>2</v>
      </c>
      <c r="K20" s="8">
        <v>6520.93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8">
        <v>0</v>
      </c>
      <c r="W20" s="9">
        <v>0</v>
      </c>
      <c r="X20" s="9">
        <v>0</v>
      </c>
    </row>
    <row r="21" spans="1:24" ht="33.75" x14ac:dyDescent="0.25">
      <c r="A21" s="5" t="s">
        <v>49</v>
      </c>
      <c r="B21" s="5" t="s">
        <v>28</v>
      </c>
      <c r="C21" s="5" t="s">
        <v>29</v>
      </c>
      <c r="D21" s="5">
        <v>1</v>
      </c>
      <c r="E21" s="11">
        <v>1</v>
      </c>
      <c r="F21" s="12">
        <v>1701</v>
      </c>
      <c r="G21" s="5" t="str">
        <f t="shared" si="0"/>
        <v>53</v>
      </c>
      <c r="H21" s="5">
        <v>530301</v>
      </c>
      <c r="I21" s="6" t="str">
        <f>+IFERROR(VLOOKUP(H21,[1]CATALOGO!$B$2:$C$98,2,0),"")</f>
        <v>Pasajes al Interior</v>
      </c>
      <c r="J21" s="5">
        <v>2</v>
      </c>
      <c r="K21" s="8">
        <v>40850</v>
      </c>
      <c r="L21" s="8">
        <v>7199.65</v>
      </c>
      <c r="M21" s="8">
        <v>0</v>
      </c>
      <c r="N21" s="8">
        <v>1087.96</v>
      </c>
      <c r="O21" s="8">
        <v>3374.03</v>
      </c>
      <c r="P21" s="8">
        <v>2311.8000000000002</v>
      </c>
      <c r="Q21" s="8">
        <v>0</v>
      </c>
      <c r="R21" s="8">
        <v>425.86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</row>
    <row r="22" spans="1:24" ht="90" x14ac:dyDescent="0.25">
      <c r="A22" s="5" t="s">
        <v>50</v>
      </c>
      <c r="B22" s="5" t="s">
        <v>28</v>
      </c>
      <c r="C22" s="5" t="s">
        <v>29</v>
      </c>
      <c r="D22" s="5">
        <v>1</v>
      </c>
      <c r="E22" s="5">
        <v>1</v>
      </c>
      <c r="F22" s="12">
        <v>1701</v>
      </c>
      <c r="G22" s="5" t="str">
        <f t="shared" si="0"/>
        <v>53</v>
      </c>
      <c r="H22" s="5">
        <v>530402</v>
      </c>
      <c r="I22" s="6" t="str">
        <f>+IFERROR(VLOOKUP(H22,[1]CATALOGO!$B$2:$C$98,2,0),"")</f>
        <v>Edificios- Locales- Residencias y Cableado Estructurado (Instalacion - Mantenimiento y Reparacion)</v>
      </c>
      <c r="J22" s="5">
        <v>2</v>
      </c>
      <c r="K22" s="8">
        <v>4093.2800000000007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8">
        <v>0</v>
      </c>
      <c r="W22" s="9">
        <v>0</v>
      </c>
      <c r="X22" s="9">
        <v>0</v>
      </c>
    </row>
    <row r="23" spans="1:24" ht="90" x14ac:dyDescent="0.25">
      <c r="A23" s="5" t="s">
        <v>51</v>
      </c>
      <c r="B23" s="5" t="s">
        <v>28</v>
      </c>
      <c r="C23" s="5" t="s">
        <v>29</v>
      </c>
      <c r="D23" s="5">
        <v>1</v>
      </c>
      <c r="E23" s="5">
        <v>1</v>
      </c>
      <c r="F23" s="12">
        <v>1701</v>
      </c>
      <c r="G23" s="5" t="str">
        <f t="shared" si="0"/>
        <v>53</v>
      </c>
      <c r="H23" s="5">
        <v>530402</v>
      </c>
      <c r="I23" s="6" t="str">
        <f>+IFERROR(VLOOKUP(H23,[1]CATALOGO!$B$2:$C$98,2,0),"")</f>
        <v>Edificios- Locales- Residencias y Cableado Estructurado (Instalacion - Mantenimiento y Reparacion)</v>
      </c>
      <c r="J23" s="5">
        <v>2</v>
      </c>
      <c r="K23" s="8">
        <v>-1650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8">
        <v>0</v>
      </c>
      <c r="W23" s="9">
        <v>0</v>
      </c>
      <c r="X23" s="9">
        <v>0</v>
      </c>
    </row>
    <row r="24" spans="1:24" ht="90" x14ac:dyDescent="0.25">
      <c r="A24" s="5" t="s">
        <v>52</v>
      </c>
      <c r="B24" s="5" t="s">
        <v>28</v>
      </c>
      <c r="C24" s="5" t="s">
        <v>29</v>
      </c>
      <c r="D24" s="5">
        <v>1</v>
      </c>
      <c r="E24" s="5">
        <v>1</v>
      </c>
      <c r="F24" s="12">
        <v>1701</v>
      </c>
      <c r="G24" s="5" t="str">
        <f t="shared" si="0"/>
        <v>53</v>
      </c>
      <c r="H24" s="5">
        <v>530402</v>
      </c>
      <c r="I24" s="6" t="str">
        <f>+IFERROR(VLOOKUP(H24,[1]CATALOGO!$B$2:$C$98,2,0),"")</f>
        <v>Edificios- Locales- Residencias y Cableado Estructurado (Instalacion - Mantenimiento y Reparacion)</v>
      </c>
      <c r="J24" s="5">
        <v>2</v>
      </c>
      <c r="K24" s="8">
        <v>-30150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8">
        <v>0</v>
      </c>
      <c r="W24" s="9">
        <v>0</v>
      </c>
      <c r="X24" s="9">
        <v>0</v>
      </c>
    </row>
    <row r="25" spans="1:24" ht="90" x14ac:dyDescent="0.25">
      <c r="A25" s="5" t="s">
        <v>53</v>
      </c>
      <c r="B25" s="5" t="s">
        <v>28</v>
      </c>
      <c r="C25" s="5" t="s">
        <v>29</v>
      </c>
      <c r="D25" s="5">
        <v>1</v>
      </c>
      <c r="E25" s="5">
        <v>1</v>
      </c>
      <c r="F25" s="12">
        <v>1701</v>
      </c>
      <c r="G25" s="5" t="str">
        <f t="shared" si="0"/>
        <v>53</v>
      </c>
      <c r="H25" s="5">
        <v>530402</v>
      </c>
      <c r="I25" s="6" t="str">
        <f>+IFERROR(VLOOKUP(H25,[1]CATALOGO!$B$2:$C$98,2,0),"")</f>
        <v>Edificios- Locales- Residencias y Cableado Estructurado (Instalacion - Mantenimiento y Reparacion)</v>
      </c>
      <c r="J25" s="5">
        <v>2</v>
      </c>
      <c r="K25" s="8">
        <v>-3500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8">
        <v>0</v>
      </c>
      <c r="W25" s="9">
        <v>0</v>
      </c>
      <c r="X25" s="9">
        <v>0</v>
      </c>
    </row>
    <row r="26" spans="1:24" ht="90" x14ac:dyDescent="0.25">
      <c r="A26" s="5" t="s">
        <v>54</v>
      </c>
      <c r="B26" s="5" t="s">
        <v>28</v>
      </c>
      <c r="C26" s="5" t="s">
        <v>29</v>
      </c>
      <c r="D26" s="5">
        <v>1</v>
      </c>
      <c r="E26" s="5">
        <v>1</v>
      </c>
      <c r="F26" s="12">
        <v>1701</v>
      </c>
      <c r="G26" s="5" t="str">
        <f t="shared" si="0"/>
        <v>53</v>
      </c>
      <c r="H26" s="5">
        <v>530402</v>
      </c>
      <c r="I26" s="6" t="str">
        <f>+IFERROR(VLOOKUP(H26,[1]CATALOGO!$B$2:$C$98,2,0),"")</f>
        <v>Edificios- Locales- Residencias y Cableado Estructurado (Instalacion - Mantenimiento y Reparacion)</v>
      </c>
      <c r="J26" s="5">
        <v>2</v>
      </c>
      <c r="K26" s="8">
        <v>8000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8">
        <v>0</v>
      </c>
      <c r="W26" s="9">
        <v>0</v>
      </c>
      <c r="X26" s="9">
        <v>0</v>
      </c>
    </row>
    <row r="27" spans="1:24" ht="90" x14ac:dyDescent="0.25">
      <c r="A27" s="5" t="s">
        <v>55</v>
      </c>
      <c r="B27" s="5" t="s">
        <v>28</v>
      </c>
      <c r="C27" s="5" t="s">
        <v>29</v>
      </c>
      <c r="D27" s="5">
        <v>1</v>
      </c>
      <c r="E27" s="5">
        <v>1</v>
      </c>
      <c r="F27" s="12">
        <v>1701</v>
      </c>
      <c r="G27" s="5" t="str">
        <f t="shared" si="0"/>
        <v>53</v>
      </c>
      <c r="H27" s="5">
        <v>530402</v>
      </c>
      <c r="I27" s="6" t="str">
        <f>+IFERROR(VLOOKUP(H27,[1]CATALOGO!$B$2:$C$98,2,0),"")</f>
        <v>Edificios- Locales- Residencias y Cableado Estructurado (Instalacion - Mantenimiento y Reparacion)</v>
      </c>
      <c r="J27" s="5">
        <v>2</v>
      </c>
      <c r="K27" s="8">
        <v>3000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8">
        <v>0</v>
      </c>
      <c r="W27" s="9">
        <v>0</v>
      </c>
      <c r="X27" s="9">
        <v>0</v>
      </c>
    </row>
    <row r="28" spans="1:24" ht="90" x14ac:dyDescent="0.25">
      <c r="A28" s="5" t="s">
        <v>56</v>
      </c>
      <c r="B28" s="5" t="s">
        <v>28</v>
      </c>
      <c r="C28" s="5" t="s">
        <v>29</v>
      </c>
      <c r="D28" s="5">
        <v>1</v>
      </c>
      <c r="E28" s="5">
        <v>1</v>
      </c>
      <c r="F28" s="12">
        <v>1701</v>
      </c>
      <c r="G28" s="5" t="str">
        <f t="shared" si="0"/>
        <v>53</v>
      </c>
      <c r="H28" s="5">
        <v>530402</v>
      </c>
      <c r="I28" s="6" t="str">
        <f>+IFERROR(VLOOKUP(H28,[1]CATALOGO!$B$2:$C$98,2,0),"")</f>
        <v>Edificios- Locales- Residencias y Cableado Estructurado (Instalacion - Mantenimiento y Reparacion)</v>
      </c>
      <c r="J28" s="5">
        <v>2</v>
      </c>
      <c r="K28" s="8">
        <v>2800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8">
        <v>0</v>
      </c>
      <c r="W28" s="9">
        <v>0</v>
      </c>
      <c r="X28" s="9">
        <v>0</v>
      </c>
    </row>
    <row r="29" spans="1:24" ht="90" x14ac:dyDescent="0.25">
      <c r="A29" s="5" t="s">
        <v>57</v>
      </c>
      <c r="B29" s="5" t="s">
        <v>28</v>
      </c>
      <c r="C29" s="5" t="s">
        <v>29</v>
      </c>
      <c r="D29" s="5">
        <v>1</v>
      </c>
      <c r="E29" s="5">
        <v>1</v>
      </c>
      <c r="F29" s="12">
        <v>1701</v>
      </c>
      <c r="G29" s="5" t="str">
        <f t="shared" si="0"/>
        <v>53</v>
      </c>
      <c r="H29" s="5">
        <v>530402</v>
      </c>
      <c r="I29" s="6" t="str">
        <f>+IFERROR(VLOOKUP(H29,[1]CATALOGO!$B$2:$C$98,2,0),"")</f>
        <v>Edificios- Locales- Residencias y Cableado Estructurado (Instalacion - Mantenimiento y Reparacion)</v>
      </c>
      <c r="J29" s="5">
        <v>2</v>
      </c>
      <c r="K29" s="8">
        <v>-6500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8">
        <v>0</v>
      </c>
      <c r="W29" s="9">
        <v>0</v>
      </c>
      <c r="X29" s="9">
        <v>0</v>
      </c>
    </row>
    <row r="30" spans="1:24" ht="90" x14ac:dyDescent="0.25">
      <c r="A30" s="5" t="s">
        <v>58</v>
      </c>
      <c r="B30" s="5" t="s">
        <v>28</v>
      </c>
      <c r="C30" s="5" t="s">
        <v>29</v>
      </c>
      <c r="D30" s="5">
        <v>1</v>
      </c>
      <c r="E30" s="5">
        <v>1</v>
      </c>
      <c r="F30" s="12">
        <v>1701</v>
      </c>
      <c r="G30" s="5" t="str">
        <f t="shared" si="0"/>
        <v>53</v>
      </c>
      <c r="H30" s="5">
        <v>530402</v>
      </c>
      <c r="I30" s="6" t="str">
        <f>+IFERROR(VLOOKUP(H30,[1]CATALOGO!$B$2:$C$98,2,0),"")</f>
        <v>Edificios- Locales- Residencias y Cableado Estructurado (Instalacion - Mantenimiento y Reparacion)</v>
      </c>
      <c r="J30" s="5">
        <v>2</v>
      </c>
      <c r="K30" s="8">
        <v>-3630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8">
        <v>0</v>
      </c>
      <c r="W30" s="9">
        <v>0</v>
      </c>
      <c r="X30" s="9">
        <v>0</v>
      </c>
    </row>
    <row r="31" spans="1:24" ht="90" x14ac:dyDescent="0.25">
      <c r="A31" s="5" t="s">
        <v>59</v>
      </c>
      <c r="B31" s="5" t="s">
        <v>28</v>
      </c>
      <c r="C31" s="5" t="s">
        <v>29</v>
      </c>
      <c r="D31" s="5">
        <v>1</v>
      </c>
      <c r="E31" s="5">
        <v>1</v>
      </c>
      <c r="F31" s="12">
        <v>1701</v>
      </c>
      <c r="G31" s="5" t="str">
        <f t="shared" si="0"/>
        <v>53</v>
      </c>
      <c r="H31" s="5">
        <v>530402</v>
      </c>
      <c r="I31" s="6" t="str">
        <f>+IFERROR(VLOOKUP(H31,[1]CATALOGO!$B$2:$C$98,2,0),"")</f>
        <v>Edificios- Locales- Residencias y Cableado Estructurado (Instalacion - Mantenimiento y Reparacion)</v>
      </c>
      <c r="J31" s="5">
        <v>2</v>
      </c>
      <c r="K31" s="8">
        <v>3200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8">
        <v>0</v>
      </c>
      <c r="W31" s="9">
        <v>0</v>
      </c>
      <c r="X31" s="9">
        <v>0</v>
      </c>
    </row>
    <row r="32" spans="1:24" ht="90" x14ac:dyDescent="0.25">
      <c r="A32" s="5" t="s">
        <v>60</v>
      </c>
      <c r="B32" s="5" t="s">
        <v>28</v>
      </c>
      <c r="C32" s="5" t="s">
        <v>29</v>
      </c>
      <c r="D32" s="5">
        <v>1</v>
      </c>
      <c r="E32" s="5">
        <v>1</v>
      </c>
      <c r="F32" s="12">
        <v>1701</v>
      </c>
      <c r="G32" s="5" t="str">
        <f t="shared" si="0"/>
        <v>53</v>
      </c>
      <c r="H32" s="5">
        <v>530402</v>
      </c>
      <c r="I32" s="6" t="str">
        <f>+IFERROR(VLOOKUP(H32,[1]CATALOGO!$B$2:$C$98,2,0),"")</f>
        <v>Edificios- Locales- Residencias y Cableado Estructurado (Instalacion - Mantenimiento y Reparacion)</v>
      </c>
      <c r="J32" s="5">
        <v>2</v>
      </c>
      <c r="K32" s="8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8">
        <v>0</v>
      </c>
      <c r="W32" s="9">
        <v>0</v>
      </c>
      <c r="X32" s="9">
        <v>0</v>
      </c>
    </row>
    <row r="33" spans="1:24" ht="90" x14ac:dyDescent="0.25">
      <c r="A33" s="5" t="s">
        <v>61</v>
      </c>
      <c r="B33" s="5" t="s">
        <v>28</v>
      </c>
      <c r="C33" s="5" t="s">
        <v>29</v>
      </c>
      <c r="D33" s="5">
        <v>1</v>
      </c>
      <c r="E33" s="5">
        <v>1</v>
      </c>
      <c r="F33" s="12">
        <v>1701</v>
      </c>
      <c r="G33" s="5" t="str">
        <f t="shared" si="0"/>
        <v>53</v>
      </c>
      <c r="H33" s="5">
        <v>530402</v>
      </c>
      <c r="I33" s="6" t="str">
        <f>+IFERROR(VLOOKUP(H33,[1]CATALOGO!$B$2:$C$98,2,0),"")</f>
        <v>Edificios- Locales- Residencias y Cableado Estructurado (Instalacion - Mantenimiento y Reparacion)</v>
      </c>
      <c r="J33" s="5">
        <v>2</v>
      </c>
      <c r="K33" s="8">
        <v>3630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8">
        <v>0</v>
      </c>
      <c r="W33" s="9">
        <v>0</v>
      </c>
      <c r="X33" s="9">
        <v>0</v>
      </c>
    </row>
    <row r="34" spans="1:24" ht="90" x14ac:dyDescent="0.25">
      <c r="A34" s="5" t="s">
        <v>62</v>
      </c>
      <c r="B34" s="5" t="s">
        <v>28</v>
      </c>
      <c r="C34" s="5" t="s">
        <v>29</v>
      </c>
      <c r="D34" s="5">
        <v>1</v>
      </c>
      <c r="E34" s="5">
        <v>1</v>
      </c>
      <c r="F34" s="12">
        <v>1701</v>
      </c>
      <c r="G34" s="5" t="str">
        <f t="shared" si="0"/>
        <v>53</v>
      </c>
      <c r="H34" s="5">
        <v>530402</v>
      </c>
      <c r="I34" s="6" t="str">
        <f>+IFERROR(VLOOKUP(H34,[1]CATALOGO!$B$2:$C$98,2,0),"")</f>
        <v>Edificios- Locales- Residencias y Cableado Estructurado (Instalacion - Mantenimiento y Reparacion)</v>
      </c>
      <c r="J34" s="5">
        <v>2</v>
      </c>
      <c r="K34" s="8">
        <v>33500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8">
        <v>0</v>
      </c>
      <c r="W34" s="9">
        <v>0</v>
      </c>
      <c r="X34" s="9">
        <v>0</v>
      </c>
    </row>
    <row r="35" spans="1:24" ht="56.25" x14ac:dyDescent="0.25">
      <c r="A35" s="5" t="s">
        <v>63</v>
      </c>
      <c r="B35" s="5" t="s">
        <v>28</v>
      </c>
      <c r="C35" s="5" t="s">
        <v>29</v>
      </c>
      <c r="D35" s="5">
        <v>1</v>
      </c>
      <c r="E35" s="5">
        <v>1</v>
      </c>
      <c r="F35" s="5">
        <v>1701</v>
      </c>
      <c r="G35" s="5" t="str">
        <f t="shared" si="0"/>
        <v>53</v>
      </c>
      <c r="H35" s="5">
        <v>530404</v>
      </c>
      <c r="I35" s="6" t="str">
        <f>+IFERROR(VLOOKUP(H35,[1]CATALOGO!$B$2:$C$98,2,0),"")</f>
        <v>Maquinarias y Equipos (Instalacion- Mantenimiento y Reparacion)</v>
      </c>
      <c r="J35" s="5">
        <v>2</v>
      </c>
      <c r="K35" s="8">
        <v>0</v>
      </c>
      <c r="L35" s="8">
        <v>5286.28</v>
      </c>
      <c r="M35" s="8">
        <v>0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5286.28</v>
      </c>
      <c r="X35" s="8">
        <v>0</v>
      </c>
    </row>
    <row r="36" spans="1:24" ht="56.25" x14ac:dyDescent="0.25">
      <c r="A36" s="5" t="s">
        <v>64</v>
      </c>
      <c r="B36" s="5" t="s">
        <v>28</v>
      </c>
      <c r="C36" s="5" t="s">
        <v>29</v>
      </c>
      <c r="D36" s="5">
        <v>1</v>
      </c>
      <c r="E36" s="5">
        <v>1</v>
      </c>
      <c r="F36" s="5">
        <v>1701</v>
      </c>
      <c r="G36" s="5" t="str">
        <f t="shared" si="0"/>
        <v>53</v>
      </c>
      <c r="H36" s="5">
        <v>530404</v>
      </c>
      <c r="I36" s="6" t="str">
        <f>+IFERROR(VLOOKUP(H36,[1]CATALOGO!$B$2:$C$98,2,0),"")</f>
        <v>Maquinarias y Equipos (Instalacion- Mantenimiento y Reparacion)</v>
      </c>
      <c r="J36" s="5">
        <v>2</v>
      </c>
      <c r="K36" s="8">
        <v>-500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8">
        <v>0</v>
      </c>
      <c r="W36" s="9">
        <v>0</v>
      </c>
      <c r="X36" s="9">
        <v>0</v>
      </c>
    </row>
    <row r="37" spans="1:24" ht="56.25" x14ac:dyDescent="0.25">
      <c r="A37" s="5" t="s">
        <v>65</v>
      </c>
      <c r="B37" s="5" t="s">
        <v>28</v>
      </c>
      <c r="C37" s="5" t="s">
        <v>29</v>
      </c>
      <c r="D37" s="5">
        <v>1</v>
      </c>
      <c r="E37" s="5">
        <v>1</v>
      </c>
      <c r="F37" s="5">
        <v>1701</v>
      </c>
      <c r="G37" s="5" t="str">
        <f t="shared" si="0"/>
        <v>53</v>
      </c>
      <c r="H37" s="5">
        <v>530404</v>
      </c>
      <c r="I37" s="6" t="str">
        <f>+IFERROR(VLOOKUP(H37,[1]CATALOGO!$B$2:$C$98,2,0),"")</f>
        <v>Maquinarias y Equipos (Instalacion- Mantenimiento y Reparacion)</v>
      </c>
      <c r="J37" s="5">
        <v>2</v>
      </c>
      <c r="K37" s="8">
        <v>-35500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8">
        <v>0</v>
      </c>
      <c r="W37" s="9">
        <v>0</v>
      </c>
      <c r="X37" s="9">
        <v>0</v>
      </c>
    </row>
    <row r="38" spans="1:24" ht="56.25" x14ac:dyDescent="0.25">
      <c r="A38" s="5" t="s">
        <v>66</v>
      </c>
      <c r="B38" s="5" t="s">
        <v>28</v>
      </c>
      <c r="C38" s="5" t="s">
        <v>29</v>
      </c>
      <c r="D38" s="5">
        <v>1</v>
      </c>
      <c r="E38" s="5">
        <v>1</v>
      </c>
      <c r="F38" s="5">
        <v>1701</v>
      </c>
      <c r="G38" s="5" t="str">
        <f t="shared" si="0"/>
        <v>53</v>
      </c>
      <c r="H38" s="5">
        <v>530404</v>
      </c>
      <c r="I38" s="6" t="str">
        <f>+IFERROR(VLOOKUP(H38,[1]CATALOGO!$B$2:$C$98,2,0),"")</f>
        <v>Maquinarias y Equipos (Instalacion- Mantenimiento y Reparacion)</v>
      </c>
      <c r="J38" s="5">
        <v>2</v>
      </c>
      <c r="K38" s="8">
        <v>3000</v>
      </c>
      <c r="L38" s="9">
        <v>0</v>
      </c>
      <c r="M38" s="9">
        <v>0</v>
      </c>
      <c r="N38" s="9">
        <v>0</v>
      </c>
      <c r="O38" s="9">
        <v>0</v>
      </c>
      <c r="P38" s="9">
        <v>0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8">
        <v>0</v>
      </c>
      <c r="W38" s="9">
        <v>0</v>
      </c>
      <c r="X38" s="9">
        <v>0</v>
      </c>
    </row>
    <row r="39" spans="1:24" ht="56.25" x14ac:dyDescent="0.25">
      <c r="A39" s="5" t="s">
        <v>67</v>
      </c>
      <c r="B39" s="5" t="s">
        <v>28</v>
      </c>
      <c r="C39" s="5" t="s">
        <v>29</v>
      </c>
      <c r="D39" s="5">
        <v>1</v>
      </c>
      <c r="E39" s="5">
        <v>1</v>
      </c>
      <c r="F39" s="5">
        <v>1701</v>
      </c>
      <c r="G39" s="5" t="str">
        <f t="shared" si="0"/>
        <v>53</v>
      </c>
      <c r="H39" s="5">
        <v>530404</v>
      </c>
      <c r="I39" s="6" t="str">
        <f>+IFERROR(VLOOKUP(H39,[1]CATALOGO!$B$2:$C$98,2,0),"")</f>
        <v>Maquinarias y Equipos (Instalacion- Mantenimiento y Reparacion)</v>
      </c>
      <c r="J39" s="5">
        <v>2</v>
      </c>
      <c r="K39" s="8">
        <v>500</v>
      </c>
      <c r="L39" s="9">
        <v>0</v>
      </c>
      <c r="M39" s="9">
        <v>0</v>
      </c>
      <c r="N39" s="9">
        <v>0</v>
      </c>
      <c r="O39" s="9">
        <v>0</v>
      </c>
      <c r="P39" s="9">
        <v>0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8">
        <v>0</v>
      </c>
      <c r="W39" s="9">
        <v>0</v>
      </c>
      <c r="X39" s="9">
        <v>0</v>
      </c>
    </row>
    <row r="40" spans="1:24" ht="56.25" x14ac:dyDescent="0.25">
      <c r="A40" s="5" t="s">
        <v>68</v>
      </c>
      <c r="B40" s="5" t="s">
        <v>44</v>
      </c>
      <c r="C40" s="5" t="s">
        <v>45</v>
      </c>
      <c r="D40" s="5">
        <v>1</v>
      </c>
      <c r="E40" s="5">
        <v>1</v>
      </c>
      <c r="F40" s="5">
        <v>1701</v>
      </c>
      <c r="G40" s="5" t="str">
        <f t="shared" si="0"/>
        <v>53</v>
      </c>
      <c r="H40" s="5">
        <v>530404</v>
      </c>
      <c r="I40" s="6" t="str">
        <f>+IFERROR(VLOOKUP(H40,[1]CATALOGO!$B$2:$C$98,2,0),"")</f>
        <v>Maquinarias y Equipos (Instalacion- Mantenimiento y Reparacion)</v>
      </c>
      <c r="J40" s="5">
        <v>2</v>
      </c>
      <c r="K40" s="8">
        <v>1000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</row>
    <row r="41" spans="1:24" ht="56.25" x14ac:dyDescent="0.25">
      <c r="A41" s="5" t="s">
        <v>69</v>
      </c>
      <c r="B41" s="5" t="s">
        <v>44</v>
      </c>
      <c r="C41" s="5" t="s">
        <v>45</v>
      </c>
      <c r="D41" s="5">
        <v>1</v>
      </c>
      <c r="E41" s="5">
        <v>1</v>
      </c>
      <c r="F41" s="5">
        <v>1701</v>
      </c>
      <c r="G41" s="5" t="str">
        <f t="shared" si="0"/>
        <v>53</v>
      </c>
      <c r="H41" s="5">
        <v>530404</v>
      </c>
      <c r="I41" s="6" t="str">
        <f>+IFERROR(VLOOKUP(H41,[1]CATALOGO!$B$2:$C$98,2,0),"")</f>
        <v>Maquinarias y Equipos (Instalacion- Mantenimiento y Reparacion)</v>
      </c>
      <c r="J41" s="5">
        <v>2</v>
      </c>
      <c r="K41" s="8">
        <v>1500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</row>
    <row r="42" spans="1:24" ht="56.25" x14ac:dyDescent="0.25">
      <c r="A42" s="5" t="s">
        <v>70</v>
      </c>
      <c r="B42" s="5" t="s">
        <v>28</v>
      </c>
      <c r="C42" s="5" t="s">
        <v>29</v>
      </c>
      <c r="D42" s="5">
        <v>1</v>
      </c>
      <c r="E42" s="5">
        <v>1</v>
      </c>
      <c r="F42" s="5">
        <v>1701</v>
      </c>
      <c r="G42" s="5" t="str">
        <f t="shared" si="0"/>
        <v>53</v>
      </c>
      <c r="H42" s="5">
        <v>530404</v>
      </c>
      <c r="I42" s="6" t="str">
        <f>+IFERROR(VLOOKUP(H42,[1]CATALOGO!$B$2:$C$98,2,0),"")</f>
        <v>Maquinarias y Equipos (Instalacion- Mantenimiento y Reparacion)</v>
      </c>
      <c r="J42" s="5">
        <v>2</v>
      </c>
      <c r="K42" s="8">
        <v>-4600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8">
        <v>0</v>
      </c>
      <c r="W42" s="9">
        <v>0</v>
      </c>
      <c r="X42" s="9">
        <v>0</v>
      </c>
    </row>
    <row r="43" spans="1:24" ht="56.25" x14ac:dyDescent="0.25">
      <c r="A43" s="5" t="s">
        <v>71</v>
      </c>
      <c r="B43" s="5" t="s">
        <v>28</v>
      </c>
      <c r="C43" s="5" t="s">
        <v>29</v>
      </c>
      <c r="D43" s="5">
        <v>1</v>
      </c>
      <c r="E43" s="5">
        <v>1</v>
      </c>
      <c r="F43" s="5">
        <v>1701</v>
      </c>
      <c r="G43" s="5" t="str">
        <f t="shared" si="0"/>
        <v>53</v>
      </c>
      <c r="H43" s="5">
        <v>530404</v>
      </c>
      <c r="I43" s="6" t="str">
        <f>+IFERROR(VLOOKUP(H43,[1]CATALOGO!$B$2:$C$98,2,0),"")</f>
        <v>Maquinarias y Equipos (Instalacion- Mantenimiento y Reparacion)</v>
      </c>
      <c r="J43" s="5">
        <v>2</v>
      </c>
      <c r="K43" s="8">
        <v>6500</v>
      </c>
      <c r="L43" s="9">
        <v>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8">
        <v>0</v>
      </c>
      <c r="W43" s="9">
        <v>0</v>
      </c>
      <c r="X43" s="9">
        <v>0</v>
      </c>
    </row>
    <row r="44" spans="1:24" ht="56.25" x14ac:dyDescent="0.25">
      <c r="A44" s="5" t="s">
        <v>72</v>
      </c>
      <c r="B44" s="5" t="s">
        <v>28</v>
      </c>
      <c r="C44" s="5" t="s">
        <v>29</v>
      </c>
      <c r="D44" s="5">
        <v>1</v>
      </c>
      <c r="E44" s="5">
        <v>1</v>
      </c>
      <c r="F44" s="5">
        <v>1701</v>
      </c>
      <c r="G44" s="5" t="str">
        <f t="shared" si="0"/>
        <v>53</v>
      </c>
      <c r="H44" s="5">
        <v>530404</v>
      </c>
      <c r="I44" s="6" t="str">
        <f>+IFERROR(VLOOKUP(H44,[1]CATALOGO!$B$2:$C$98,2,0),"")</f>
        <v>Maquinarias y Equipos (Instalacion- Mantenimiento y Reparacion)</v>
      </c>
      <c r="J44" s="5">
        <v>2</v>
      </c>
      <c r="K44" s="8">
        <v>3421</v>
      </c>
      <c r="L44" s="9">
        <v>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8">
        <v>0</v>
      </c>
      <c r="W44" s="9">
        <v>0</v>
      </c>
      <c r="X44" s="9">
        <v>0</v>
      </c>
    </row>
    <row r="45" spans="1:24" ht="56.25" x14ac:dyDescent="0.25">
      <c r="A45" s="5" t="s">
        <v>73</v>
      </c>
      <c r="B45" s="5" t="s">
        <v>28</v>
      </c>
      <c r="C45" s="5" t="s">
        <v>29</v>
      </c>
      <c r="D45" s="5">
        <v>1</v>
      </c>
      <c r="E45" s="5">
        <v>1</v>
      </c>
      <c r="F45" s="5">
        <v>1701</v>
      </c>
      <c r="G45" s="5" t="str">
        <f t="shared" si="0"/>
        <v>53</v>
      </c>
      <c r="H45" s="5">
        <v>530404</v>
      </c>
      <c r="I45" s="6" t="str">
        <f>+IFERROR(VLOOKUP(H45,[1]CATALOGO!$B$2:$C$98,2,0),"")</f>
        <v>Maquinarias y Equipos (Instalacion- Mantenimiento y Reparacion)</v>
      </c>
      <c r="J45" s="5">
        <v>2</v>
      </c>
      <c r="K45" s="8">
        <v>100</v>
      </c>
      <c r="L45" s="9">
        <v>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8">
        <v>0</v>
      </c>
      <c r="W45" s="9">
        <v>0</v>
      </c>
      <c r="X45" s="9">
        <v>0</v>
      </c>
    </row>
    <row r="46" spans="1:24" ht="56.25" x14ac:dyDescent="0.25">
      <c r="A46" s="5" t="s">
        <v>74</v>
      </c>
      <c r="B46" s="5" t="s">
        <v>28</v>
      </c>
      <c r="C46" s="5" t="s">
        <v>29</v>
      </c>
      <c r="D46" s="5">
        <v>1</v>
      </c>
      <c r="E46" s="5">
        <v>1</v>
      </c>
      <c r="F46" s="5">
        <v>1701</v>
      </c>
      <c r="G46" s="5" t="str">
        <f t="shared" si="0"/>
        <v>53</v>
      </c>
      <c r="H46" s="5">
        <v>530404</v>
      </c>
      <c r="I46" s="6" t="str">
        <f>+IFERROR(VLOOKUP(H46,[1]CATALOGO!$B$2:$C$98,2,0),"")</f>
        <v>Maquinarias y Equipos (Instalacion- Mantenimiento y Reparacion)</v>
      </c>
      <c r="J46" s="5">
        <v>2</v>
      </c>
      <c r="K46" s="8">
        <v>10200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8">
        <v>0</v>
      </c>
      <c r="W46" s="9">
        <v>0</v>
      </c>
      <c r="X46" s="9">
        <v>0</v>
      </c>
    </row>
    <row r="47" spans="1:24" ht="56.25" x14ac:dyDescent="0.25">
      <c r="A47" s="5" t="s">
        <v>75</v>
      </c>
      <c r="B47" s="5" t="s">
        <v>28</v>
      </c>
      <c r="C47" s="5" t="s">
        <v>29</v>
      </c>
      <c r="D47" s="5">
        <v>1</v>
      </c>
      <c r="E47" s="5">
        <v>1</v>
      </c>
      <c r="F47" s="5">
        <v>1701</v>
      </c>
      <c r="G47" s="5" t="str">
        <f t="shared" si="0"/>
        <v>53</v>
      </c>
      <c r="H47" s="5">
        <v>530404</v>
      </c>
      <c r="I47" s="6" t="str">
        <f>+IFERROR(VLOOKUP(H47,[1]CATALOGO!$B$2:$C$98,2,0),"")</f>
        <v>Maquinarias y Equipos (Instalacion- Mantenimiento y Reparacion)</v>
      </c>
      <c r="J47" s="5">
        <v>2</v>
      </c>
      <c r="K47" s="8">
        <v>23500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8">
        <v>0</v>
      </c>
      <c r="W47" s="9">
        <v>0</v>
      </c>
      <c r="X47" s="9">
        <v>0</v>
      </c>
    </row>
    <row r="48" spans="1:24" ht="45" x14ac:dyDescent="0.25">
      <c r="A48" s="5" t="s">
        <v>76</v>
      </c>
      <c r="B48" s="5" t="s">
        <v>28</v>
      </c>
      <c r="C48" s="5" t="s">
        <v>29</v>
      </c>
      <c r="D48" s="6">
        <v>1</v>
      </c>
      <c r="E48" s="11">
        <v>1</v>
      </c>
      <c r="F48" s="12">
        <v>1701</v>
      </c>
      <c r="G48" s="5" t="str">
        <f t="shared" si="0"/>
        <v>53</v>
      </c>
      <c r="H48" s="5">
        <v>530405</v>
      </c>
      <c r="I48" s="6" t="str">
        <f>+IFERROR(VLOOKUP(H48,[1]CATALOGO!$B$2:$C$98,2,0),"")</f>
        <v>Vehiculos (Servicio para Mantenimiento y Reparacion)</v>
      </c>
      <c r="J48" s="5">
        <v>2</v>
      </c>
      <c r="K48" s="8">
        <v>36000</v>
      </c>
      <c r="L48" s="8">
        <v>7200</v>
      </c>
      <c r="M48" s="8">
        <v>0</v>
      </c>
      <c r="N48" s="8">
        <v>0</v>
      </c>
      <c r="O48" s="8">
        <v>0</v>
      </c>
      <c r="P48" s="8">
        <v>0</v>
      </c>
      <c r="Q48" s="8">
        <v>1875.1</v>
      </c>
      <c r="R48" s="8">
        <f>1609.35+1914.55</f>
        <v>3523.8999999999996</v>
      </c>
      <c r="S48" s="8">
        <v>1373</v>
      </c>
      <c r="T48" s="8">
        <v>428</v>
      </c>
      <c r="U48" s="8">
        <v>0</v>
      </c>
      <c r="V48" s="8">
        <v>0</v>
      </c>
      <c r="W48" s="8">
        <v>0</v>
      </c>
      <c r="X48" s="8">
        <v>0</v>
      </c>
    </row>
    <row r="49" spans="1:24" ht="56.25" x14ac:dyDescent="0.25">
      <c r="A49" s="5" t="s">
        <v>77</v>
      </c>
      <c r="B49" s="5" t="s">
        <v>28</v>
      </c>
      <c r="C49" s="5" t="s">
        <v>29</v>
      </c>
      <c r="D49" s="5">
        <v>1</v>
      </c>
      <c r="E49" s="5">
        <v>1</v>
      </c>
      <c r="F49" s="5">
        <v>1701</v>
      </c>
      <c r="G49" s="5" t="str">
        <f t="shared" si="0"/>
        <v>53</v>
      </c>
      <c r="H49" s="5">
        <v>530704</v>
      </c>
      <c r="I49" s="6" t="str">
        <f>+IFERROR(VLOOKUP(H49,[1]CATALOGO!$B$2:$C$98,2,0),"")</f>
        <v>Mantenimiento y Reparacion de Equipos y Sistemas Informaticos</v>
      </c>
      <c r="J49" s="5">
        <v>2</v>
      </c>
      <c r="K49" s="8">
        <v>-8500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8">
        <v>0</v>
      </c>
      <c r="W49" s="9">
        <v>0</v>
      </c>
      <c r="X49" s="9">
        <v>0</v>
      </c>
    </row>
    <row r="50" spans="1:24" ht="56.25" x14ac:dyDescent="0.25">
      <c r="A50" s="5" t="s">
        <v>78</v>
      </c>
      <c r="B50" s="5" t="s">
        <v>28</v>
      </c>
      <c r="C50" s="5" t="s">
        <v>29</v>
      </c>
      <c r="D50" s="5">
        <v>1</v>
      </c>
      <c r="E50" s="5">
        <v>1</v>
      </c>
      <c r="F50" s="5">
        <v>1701</v>
      </c>
      <c r="G50" s="5" t="str">
        <f t="shared" si="0"/>
        <v>53</v>
      </c>
      <c r="H50" s="5">
        <v>530704</v>
      </c>
      <c r="I50" s="6" t="str">
        <f>+IFERROR(VLOOKUP(H50,[1]CATALOGO!$B$2:$C$98,2,0),"")</f>
        <v>Mantenimiento y Reparacion de Equipos y Sistemas Informaticos</v>
      </c>
      <c r="J50" s="5">
        <v>2</v>
      </c>
      <c r="K50" s="8">
        <v>-23500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8">
        <v>0</v>
      </c>
      <c r="W50" s="9">
        <v>0</v>
      </c>
      <c r="X50" s="9">
        <v>0</v>
      </c>
    </row>
    <row r="51" spans="1:24" ht="33.75" x14ac:dyDescent="0.25">
      <c r="A51" s="5" t="s">
        <v>79</v>
      </c>
      <c r="B51" s="5" t="s">
        <v>28</v>
      </c>
      <c r="C51" s="5" t="s">
        <v>29</v>
      </c>
      <c r="D51" s="5">
        <v>1</v>
      </c>
      <c r="E51" s="5">
        <v>1</v>
      </c>
      <c r="F51" s="5">
        <v>1701</v>
      </c>
      <c r="G51" s="5" t="str">
        <f t="shared" si="0"/>
        <v>53</v>
      </c>
      <c r="H51" s="5">
        <v>530804</v>
      </c>
      <c r="I51" s="6" t="str">
        <f>+IFERROR(VLOOKUP(H51,[1]CATALOGO!$B$2:$C$98,2,0),"")</f>
        <v>Materiales de Oficina</v>
      </c>
      <c r="J51" s="5">
        <v>2</v>
      </c>
      <c r="K51" s="8">
        <v>-27800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8">
        <v>0</v>
      </c>
      <c r="W51" s="9">
        <v>0</v>
      </c>
      <c r="X51" s="9">
        <v>0</v>
      </c>
    </row>
    <row r="52" spans="1:24" ht="33.75" x14ac:dyDescent="0.25">
      <c r="A52" s="5" t="s">
        <v>80</v>
      </c>
      <c r="B52" s="5" t="s">
        <v>28</v>
      </c>
      <c r="C52" s="5" t="s">
        <v>29</v>
      </c>
      <c r="D52" s="5">
        <v>1</v>
      </c>
      <c r="E52" s="5">
        <v>1</v>
      </c>
      <c r="F52" s="5">
        <v>1701</v>
      </c>
      <c r="G52" s="5" t="str">
        <f t="shared" si="0"/>
        <v>53</v>
      </c>
      <c r="H52" s="5">
        <v>530804</v>
      </c>
      <c r="I52" s="6" t="str">
        <f>+IFERROR(VLOOKUP(H52,[1]CATALOGO!$B$2:$C$98,2,0),"")</f>
        <v>Materiales de Oficina</v>
      </c>
      <c r="J52" s="5">
        <v>2</v>
      </c>
      <c r="K52" s="8">
        <v>-2500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8">
        <v>0</v>
      </c>
      <c r="W52" s="9">
        <v>0</v>
      </c>
      <c r="X52" s="9">
        <v>0</v>
      </c>
    </row>
    <row r="53" spans="1:24" ht="33.75" x14ac:dyDescent="0.25">
      <c r="A53" s="5" t="s">
        <v>81</v>
      </c>
      <c r="B53" s="5" t="s">
        <v>28</v>
      </c>
      <c r="C53" s="5" t="s">
        <v>29</v>
      </c>
      <c r="D53" s="5">
        <v>1</v>
      </c>
      <c r="E53" s="5">
        <v>1</v>
      </c>
      <c r="F53" s="5">
        <v>1701</v>
      </c>
      <c r="G53" s="5" t="str">
        <f>LEFT(H53,2)</f>
        <v>53</v>
      </c>
      <c r="H53" s="5">
        <v>530805</v>
      </c>
      <c r="I53" s="6" t="str">
        <f>+IFERROR(VLOOKUP(H53,[1]CATALOGO!$B$2:$C$98,2,0),"")</f>
        <v>Materiales de Aseo</v>
      </c>
      <c r="J53" s="5">
        <v>2</v>
      </c>
      <c r="K53" s="8">
        <v>-6500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8">
        <v>0</v>
      </c>
      <c r="W53" s="9">
        <v>0</v>
      </c>
      <c r="X53" s="9">
        <v>0</v>
      </c>
    </row>
    <row r="54" spans="1:24" ht="146.25" x14ac:dyDescent="0.25">
      <c r="A54" s="5" t="s">
        <v>82</v>
      </c>
      <c r="B54" s="5" t="s">
        <v>28</v>
      </c>
      <c r="C54" s="5" t="s">
        <v>29</v>
      </c>
      <c r="D54" s="5">
        <v>1</v>
      </c>
      <c r="E54" s="5">
        <v>1</v>
      </c>
      <c r="F54" s="5">
        <v>1701</v>
      </c>
      <c r="G54" s="5" t="str">
        <f t="shared" si="0"/>
        <v>53</v>
      </c>
      <c r="H54" s="5">
        <v>530811</v>
      </c>
      <c r="I54" s="6" t="str">
        <f>+IFERROR(VLOOKUP(H54,[1]CATALOGO!$B$2:$C$98,2,0),"")</f>
        <v>Insumos Materiales y Suministros para Construccion Electricidad Plomeria Carpinteria Senalizacion Vial Navegacion Contra Incendios y placas</v>
      </c>
      <c r="J54" s="5">
        <v>2</v>
      </c>
      <c r="K54" s="8">
        <v>3500</v>
      </c>
      <c r="L54" s="8">
        <v>9348.93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7167</v>
      </c>
      <c r="T54" s="8">
        <v>0</v>
      </c>
      <c r="U54" s="8">
        <v>0</v>
      </c>
      <c r="V54" s="8">
        <v>2181.9299999999998</v>
      </c>
      <c r="W54" s="8">
        <v>0</v>
      </c>
      <c r="X54" s="8">
        <v>0</v>
      </c>
    </row>
    <row r="55" spans="1:24" ht="33.75" x14ac:dyDescent="0.25">
      <c r="A55" s="5" t="s">
        <v>83</v>
      </c>
      <c r="B55" s="5" t="s">
        <v>28</v>
      </c>
      <c r="C55" s="5" t="s">
        <v>29</v>
      </c>
      <c r="D55" s="5">
        <v>1</v>
      </c>
      <c r="E55" s="5">
        <v>1</v>
      </c>
      <c r="F55" s="5">
        <v>1701</v>
      </c>
      <c r="G55" s="5" t="str">
        <f t="shared" si="0"/>
        <v>53</v>
      </c>
      <c r="H55" s="5">
        <v>530813</v>
      </c>
      <c r="I55" s="6" t="str">
        <f>+IFERROR(VLOOKUP(H55,[1]CATALOGO!$B$2:$C$98,2,0),"")</f>
        <v>Repuestos y Accesorios</v>
      </c>
      <c r="J55" s="5">
        <v>2</v>
      </c>
      <c r="K55" s="8">
        <v>-3700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8">
        <v>0</v>
      </c>
      <c r="W55" s="9">
        <v>0</v>
      </c>
      <c r="X55" s="9">
        <v>0</v>
      </c>
    </row>
    <row r="56" spans="1:24" ht="67.5" x14ac:dyDescent="0.25">
      <c r="A56" s="5" t="s">
        <v>84</v>
      </c>
      <c r="B56" s="5" t="s">
        <v>28</v>
      </c>
      <c r="C56" s="5" t="s">
        <v>29</v>
      </c>
      <c r="D56" s="5">
        <v>1</v>
      </c>
      <c r="E56" s="5">
        <v>1</v>
      </c>
      <c r="F56" s="5">
        <v>1701</v>
      </c>
      <c r="G56" s="5" t="str">
        <f t="shared" si="0"/>
        <v>57</v>
      </c>
      <c r="H56" s="5">
        <v>570102</v>
      </c>
      <c r="I56" s="6" t="str">
        <f>+IFERROR(VLOOKUP(H56,[1]CATALOGO!$B$2:$C$98,2,0),"")</f>
        <v>Tasas Generales- Impuestos- Contribuciones- Permisos- Licencias y Patentes</v>
      </c>
      <c r="J56" s="5">
        <v>2</v>
      </c>
      <c r="K56" s="8">
        <v>2000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8">
        <v>0</v>
      </c>
      <c r="W56" s="9">
        <v>0</v>
      </c>
      <c r="X56" s="9">
        <v>0</v>
      </c>
    </row>
    <row r="57" spans="1:24" ht="67.5" x14ac:dyDescent="0.25">
      <c r="A57" s="5" t="s">
        <v>85</v>
      </c>
      <c r="B57" s="5" t="s">
        <v>28</v>
      </c>
      <c r="C57" s="5" t="s">
        <v>29</v>
      </c>
      <c r="D57" s="5">
        <v>1</v>
      </c>
      <c r="E57" s="5">
        <v>1</v>
      </c>
      <c r="F57" s="5">
        <v>1701</v>
      </c>
      <c r="G57" s="5" t="str">
        <f t="shared" si="0"/>
        <v>57</v>
      </c>
      <c r="H57" s="5">
        <v>570102</v>
      </c>
      <c r="I57" s="6" t="str">
        <f>+IFERROR(VLOOKUP(H57,[1]CATALOGO!$B$2:$C$98,2,0),"")</f>
        <v>Tasas Generales- Impuestos- Contribuciones- Permisos- Licencias y Patentes</v>
      </c>
      <c r="J57" s="5">
        <v>2</v>
      </c>
      <c r="K57" s="8">
        <v>5381.93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8">
        <v>0</v>
      </c>
      <c r="W57" s="9">
        <v>0</v>
      </c>
      <c r="X57" s="9">
        <v>0</v>
      </c>
    </row>
    <row r="58" spans="1:24" ht="67.5" x14ac:dyDescent="0.25">
      <c r="A58" s="5" t="s">
        <v>86</v>
      </c>
      <c r="B58" s="5" t="s">
        <v>28</v>
      </c>
      <c r="C58" s="5" t="s">
        <v>29</v>
      </c>
      <c r="D58" s="5">
        <v>1</v>
      </c>
      <c r="E58" s="5">
        <v>1</v>
      </c>
      <c r="F58" s="5">
        <v>1701</v>
      </c>
      <c r="G58" s="5" t="str">
        <f t="shared" si="0"/>
        <v>57</v>
      </c>
      <c r="H58" s="5">
        <v>570102</v>
      </c>
      <c r="I58" s="6" t="str">
        <f>+IFERROR(VLOOKUP(H58,[1]CATALOGO!$B$2:$C$98,2,0),"")</f>
        <v>Tasas Generales- Impuestos- Contribuciones- Permisos- Licencias y Patentes</v>
      </c>
      <c r="J58" s="5">
        <v>2</v>
      </c>
      <c r="K58" s="8">
        <v>700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8">
        <v>0</v>
      </c>
      <c r="W58" s="9">
        <v>0</v>
      </c>
      <c r="X58" s="9">
        <v>0</v>
      </c>
    </row>
    <row r="59" spans="1:24" ht="67.5" x14ac:dyDescent="0.25">
      <c r="A59" s="5" t="s">
        <v>87</v>
      </c>
      <c r="B59" s="5" t="s">
        <v>28</v>
      </c>
      <c r="C59" s="5" t="s">
        <v>29</v>
      </c>
      <c r="D59" s="5">
        <v>1</v>
      </c>
      <c r="E59" s="5">
        <v>1</v>
      </c>
      <c r="F59" s="5">
        <v>1701</v>
      </c>
      <c r="G59" s="5" t="str">
        <f t="shared" si="0"/>
        <v>57</v>
      </c>
      <c r="H59" s="5">
        <v>570102</v>
      </c>
      <c r="I59" s="6" t="str">
        <f>+IFERROR(VLOOKUP(H59,[1]CATALOGO!$B$2:$C$98,2,0),"")</f>
        <v>Tasas Generales- Impuestos- Contribuciones- Permisos- Licencias y Patentes</v>
      </c>
      <c r="J59" s="5">
        <v>2</v>
      </c>
      <c r="K59" s="8">
        <v>-1000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8">
        <v>0</v>
      </c>
      <c r="W59" s="9">
        <v>0</v>
      </c>
      <c r="X59" s="9">
        <v>0</v>
      </c>
    </row>
    <row r="60" spans="1:24" ht="33.75" x14ac:dyDescent="0.25">
      <c r="A60" s="5" t="s">
        <v>88</v>
      </c>
      <c r="B60" s="5" t="s">
        <v>28</v>
      </c>
      <c r="C60" s="5" t="s">
        <v>29</v>
      </c>
      <c r="D60" s="5">
        <v>1</v>
      </c>
      <c r="E60" s="5">
        <v>1</v>
      </c>
      <c r="F60" s="5">
        <v>1701</v>
      </c>
      <c r="G60" s="5" t="str">
        <f t="shared" si="0"/>
        <v>57</v>
      </c>
      <c r="H60" s="5">
        <v>570201</v>
      </c>
      <c r="I60" s="6" t="str">
        <f>+IFERROR(VLOOKUP(H60,[1]CATALOGO!$B$2:$C$98,2,0),"")</f>
        <v>Seguros</v>
      </c>
      <c r="J60" s="5">
        <v>2</v>
      </c>
      <c r="K60" s="8">
        <v>37500</v>
      </c>
      <c r="L60" s="8">
        <v>100</v>
      </c>
      <c r="M60" s="8">
        <v>100</v>
      </c>
      <c r="N60" s="8">
        <v>0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</row>
    <row r="61" spans="1:24" ht="90" x14ac:dyDescent="0.25">
      <c r="A61" s="5" t="s">
        <v>89</v>
      </c>
      <c r="B61" s="5" t="s">
        <v>28</v>
      </c>
      <c r="C61" s="5" t="s">
        <v>29</v>
      </c>
      <c r="D61" s="5">
        <v>1</v>
      </c>
      <c r="E61" s="5">
        <v>1</v>
      </c>
      <c r="F61" s="5">
        <v>1700</v>
      </c>
      <c r="G61" s="5" t="str">
        <f t="shared" si="0"/>
        <v>53</v>
      </c>
      <c r="H61" s="5">
        <v>530246</v>
      </c>
      <c r="I61" s="6" t="str">
        <f>+IFERROR(VLOOKUP(H61,[1]CATALOGO!$B$2:$C$98,2,0),"")</f>
        <v>Servicios de Identificacion- Marcacion- Autentificacion- Rastreo- Monitoreo- Seguimiento y-o Trazabilidad</v>
      </c>
      <c r="J61" s="5">
        <v>2</v>
      </c>
      <c r="K61" s="8">
        <v>635</v>
      </c>
      <c r="L61" s="8">
        <v>1588.34</v>
      </c>
      <c r="M61" s="8">
        <v>0</v>
      </c>
      <c r="N61" s="8">
        <v>0</v>
      </c>
      <c r="O61" s="8">
        <v>0</v>
      </c>
      <c r="P61" s="8">
        <v>498.34</v>
      </c>
      <c r="Q61" s="8">
        <v>136.25</v>
      </c>
      <c r="R61" s="8">
        <v>136.25</v>
      </c>
      <c r="S61" s="8">
        <v>136.25</v>
      </c>
      <c r="T61" s="8">
        <v>136.25</v>
      </c>
      <c r="U61" s="8">
        <v>136.25</v>
      </c>
      <c r="V61" s="8">
        <v>136.25</v>
      </c>
      <c r="W61" s="8">
        <v>136.25</v>
      </c>
      <c r="X61" s="8">
        <v>136.25</v>
      </c>
    </row>
    <row r="62" spans="1:24" ht="90" x14ac:dyDescent="0.25">
      <c r="A62" s="5" t="s">
        <v>90</v>
      </c>
      <c r="B62" s="5" t="s">
        <v>28</v>
      </c>
      <c r="C62" s="5" t="s">
        <v>29</v>
      </c>
      <c r="D62" s="5">
        <v>1</v>
      </c>
      <c r="E62" s="5">
        <v>1</v>
      </c>
      <c r="F62" s="5">
        <v>1700</v>
      </c>
      <c r="G62" s="5" t="str">
        <f>LEFT(H62,2)</f>
        <v>53</v>
      </c>
      <c r="H62" s="5">
        <v>530246</v>
      </c>
      <c r="I62" s="6" t="str">
        <f>+IFERROR(VLOOKUP(H62,[1]CATALOGO!$B$2:$C$98,2,0),"")</f>
        <v>Servicios de Identificacion- Marcacion- Autentificacion- Rastreo- Monitoreo- Seguimiento y-o Trazabilidad</v>
      </c>
      <c r="J62" s="5">
        <v>2</v>
      </c>
      <c r="K62" s="8">
        <v>-535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8">
        <v>0</v>
      </c>
      <c r="W62" s="9">
        <v>0</v>
      </c>
      <c r="X62" s="9">
        <v>0</v>
      </c>
    </row>
    <row r="63" spans="1:24" ht="56.25" x14ac:dyDescent="0.25">
      <c r="A63" s="5" t="s">
        <v>91</v>
      </c>
      <c r="B63" s="5" t="s">
        <v>92</v>
      </c>
      <c r="C63" s="5" t="s">
        <v>93</v>
      </c>
      <c r="D63" s="5">
        <v>1</v>
      </c>
      <c r="E63" s="5">
        <v>1</v>
      </c>
      <c r="F63" s="5">
        <v>1701</v>
      </c>
      <c r="G63" s="5" t="str">
        <f t="shared" si="0"/>
        <v>53</v>
      </c>
      <c r="H63" s="5">
        <v>530702</v>
      </c>
      <c r="I63" s="6" t="str">
        <f>+IFERROR(VLOOKUP(H63,[1]CATALOGO!$B$2:$C$98,2,0),"")</f>
        <v>Arrendamiento y Licencias de Uso de Paquetes Informaticos</v>
      </c>
      <c r="J63" s="6">
        <v>2</v>
      </c>
      <c r="K63" s="8">
        <v>-39200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8">
        <v>0</v>
      </c>
      <c r="W63" s="9">
        <v>0</v>
      </c>
      <c r="X63" s="9">
        <v>0</v>
      </c>
    </row>
    <row r="64" spans="1:24" ht="45" x14ac:dyDescent="0.25">
      <c r="A64" s="5" t="s">
        <v>94</v>
      </c>
      <c r="B64" s="5" t="s">
        <v>25</v>
      </c>
      <c r="C64" s="5" t="s">
        <v>95</v>
      </c>
      <c r="D64" s="5">
        <v>1</v>
      </c>
      <c r="E64" s="5">
        <v>1</v>
      </c>
      <c r="F64" s="5">
        <v>1700</v>
      </c>
      <c r="G64" s="5" t="str">
        <f t="shared" si="0"/>
        <v>53</v>
      </c>
      <c r="H64" s="5">
        <v>530105</v>
      </c>
      <c r="I64" s="6" t="str">
        <f>+IFERROR(VLOOKUP(H64,[1]CATALOGO!$B$2:$C$98,2,0),"")</f>
        <v>Telecomunicaciones</v>
      </c>
      <c r="J64" s="6">
        <v>2</v>
      </c>
      <c r="K64" s="8">
        <v>13060.4</v>
      </c>
      <c r="L64" s="8">
        <v>9205.82</v>
      </c>
      <c r="M64" s="8">
        <v>0</v>
      </c>
      <c r="N64" s="8">
        <v>674.5</v>
      </c>
      <c r="O64" s="8">
        <v>674.5</v>
      </c>
      <c r="P64" s="8">
        <v>674.5</v>
      </c>
      <c r="Q64" s="8">
        <v>674.5</v>
      </c>
      <c r="R64" s="8">
        <v>674.5</v>
      </c>
      <c r="S64" s="8">
        <v>674.5</v>
      </c>
      <c r="T64" s="8">
        <v>674.5</v>
      </c>
      <c r="U64" s="8">
        <v>674.5</v>
      </c>
      <c r="V64" s="8">
        <v>1030.9000000000001</v>
      </c>
      <c r="W64" s="8">
        <v>1318.78</v>
      </c>
      <c r="X64" s="8">
        <v>1460.14</v>
      </c>
    </row>
    <row r="65" spans="1:24" ht="168.75" x14ac:dyDescent="0.25">
      <c r="A65" s="5" t="s">
        <v>96</v>
      </c>
      <c r="B65" s="5" t="s">
        <v>25</v>
      </c>
      <c r="C65" s="5" t="s">
        <v>95</v>
      </c>
      <c r="D65" s="5">
        <v>1</v>
      </c>
      <c r="E65" s="5">
        <v>1</v>
      </c>
      <c r="F65" s="5">
        <v>1701</v>
      </c>
      <c r="G65" s="5" t="str">
        <f t="shared" si="0"/>
        <v>53</v>
      </c>
      <c r="H65" s="5">
        <v>530204</v>
      </c>
      <c r="I65" s="6" t="str">
        <f>+IFERROR(VLOOKUP(H65,[1]CATALOGO!$B$2:$C$98,2,0),"")</f>
        <v>Edicion - Impresion - Reproduccion -Publicaciones - Suscripciones - Fotocopiado - Traduccion - Empastado - Enmarcacion - Serigrafia - Fotografia - Carnetizacion - Filmacion e Imagenes Satelitales</v>
      </c>
      <c r="J65" s="6">
        <v>2</v>
      </c>
      <c r="K65" s="8">
        <v>14574.05</v>
      </c>
      <c r="L65" s="8">
        <v>6561.8</v>
      </c>
      <c r="M65" s="8">
        <v>0</v>
      </c>
      <c r="N65" s="8">
        <v>407.98</v>
      </c>
      <c r="O65" s="8">
        <v>461.06</v>
      </c>
      <c r="P65" s="8">
        <v>480.35</v>
      </c>
      <c r="Q65" s="8">
        <v>534.23</v>
      </c>
      <c r="R65" s="8">
        <v>548.77</v>
      </c>
      <c r="S65" s="8">
        <v>578.47</v>
      </c>
      <c r="T65" s="8">
        <v>668.42</v>
      </c>
      <c r="U65" s="8">
        <v>776.7</v>
      </c>
      <c r="V65" s="8">
        <v>666.34</v>
      </c>
      <c r="W65" s="8">
        <v>735.8</v>
      </c>
      <c r="X65" s="8">
        <v>703.68</v>
      </c>
    </row>
    <row r="66" spans="1:24" ht="45" x14ac:dyDescent="0.25">
      <c r="A66" s="5" t="s">
        <v>97</v>
      </c>
      <c r="B66" s="5" t="s">
        <v>25</v>
      </c>
      <c r="C66" s="5" t="s">
        <v>95</v>
      </c>
      <c r="D66" s="5">
        <v>1</v>
      </c>
      <c r="E66" s="5">
        <v>1</v>
      </c>
      <c r="F66" s="5">
        <v>1701</v>
      </c>
      <c r="G66" s="5" t="str">
        <f t="shared" si="0"/>
        <v>53</v>
      </c>
      <c r="H66" s="5">
        <v>530702</v>
      </c>
      <c r="I66" s="6" t="str">
        <f>+IFERROR(VLOOKUP(H66,[1]CATALOGO!$B$2:$C$98,2,0),"")</f>
        <v>Arrendamiento y Licencias de Uso de Paquetes Informaticos</v>
      </c>
      <c r="J66" s="6">
        <v>2</v>
      </c>
      <c r="K66" s="8">
        <v>39595.4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</row>
    <row r="67" spans="1:24" ht="45" x14ac:dyDescent="0.25">
      <c r="A67" s="5" t="s">
        <v>98</v>
      </c>
      <c r="B67" s="5" t="s">
        <v>25</v>
      </c>
      <c r="C67" s="5" t="s">
        <v>95</v>
      </c>
      <c r="D67" s="5">
        <v>1</v>
      </c>
      <c r="E67" s="5">
        <v>1</v>
      </c>
      <c r="F67" s="5">
        <v>1701</v>
      </c>
      <c r="G67" s="5" t="str">
        <f t="shared" si="0"/>
        <v>53</v>
      </c>
      <c r="H67" s="5">
        <v>530703</v>
      </c>
      <c r="I67" s="6" t="str">
        <f>+IFERROR(VLOOKUP(H67,[1]CATALOGO!$B$2:$C$98,2,0),"")</f>
        <v>Arrendamiento de Equipos Informaticos</v>
      </c>
      <c r="J67" s="6">
        <v>2</v>
      </c>
      <c r="K67" s="8">
        <v>30819.79</v>
      </c>
      <c r="L67" s="8">
        <v>7074.55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7074.55</v>
      </c>
      <c r="X67" s="8">
        <v>0</v>
      </c>
    </row>
    <row r="68" spans="1:24" ht="22.5" x14ac:dyDescent="0.25">
      <c r="A68" s="5" t="s">
        <v>99</v>
      </c>
      <c r="B68" s="5" t="s">
        <v>44</v>
      </c>
      <c r="C68" s="5" t="s">
        <v>45</v>
      </c>
      <c r="D68" s="5">
        <v>1</v>
      </c>
      <c r="E68" s="5">
        <v>1</v>
      </c>
      <c r="F68" s="5">
        <v>1701</v>
      </c>
      <c r="G68" s="5" t="str">
        <f t="shared" si="0"/>
        <v>53</v>
      </c>
      <c r="H68" s="5">
        <v>530813</v>
      </c>
      <c r="I68" s="6" t="str">
        <f>+IFERROR(VLOOKUP(H68,[1]CATALOGO!$B$2:$C$98,2,0),"")</f>
        <v>Repuestos y Accesorios</v>
      </c>
      <c r="J68" s="6">
        <v>2</v>
      </c>
      <c r="K68" s="8">
        <v>2974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</row>
    <row r="69" spans="1:24" ht="90" x14ac:dyDescent="0.25">
      <c r="A69" s="5" t="s">
        <v>100</v>
      </c>
      <c r="B69" s="5" t="s">
        <v>25</v>
      </c>
      <c r="C69" s="5" t="s">
        <v>95</v>
      </c>
      <c r="D69" s="5">
        <v>1</v>
      </c>
      <c r="E69" s="5">
        <v>1</v>
      </c>
      <c r="F69" s="12">
        <v>1701</v>
      </c>
      <c r="G69" s="5" t="str">
        <f t="shared" si="0"/>
        <v>53</v>
      </c>
      <c r="H69" s="5">
        <v>530402</v>
      </c>
      <c r="I69" s="6" t="str">
        <f>+IFERROR(VLOOKUP(H69,[1]CATALOGO!$B$2:$C$98,2,0),"")</f>
        <v>Edificios- Locales- Residencias y Cableado Estructurado (Instalacion - Mantenimiento y Reparacion)</v>
      </c>
      <c r="J69" s="6">
        <v>2</v>
      </c>
      <c r="K69" s="8">
        <v>-33720.400000000001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</row>
    <row r="70" spans="1:24" ht="45" x14ac:dyDescent="0.25">
      <c r="A70" s="5" t="s">
        <v>101</v>
      </c>
      <c r="B70" s="5" t="s">
        <v>25</v>
      </c>
      <c r="C70" s="5" t="s">
        <v>95</v>
      </c>
      <c r="D70" s="5">
        <v>1</v>
      </c>
      <c r="E70" s="5">
        <v>1</v>
      </c>
      <c r="F70" s="5">
        <v>1701</v>
      </c>
      <c r="G70" s="5" t="str">
        <f t="shared" si="0"/>
        <v>53</v>
      </c>
      <c r="H70" s="5">
        <v>530702</v>
      </c>
      <c r="I70" s="6" t="str">
        <f>+IFERROR(VLOOKUP(H70,[1]CATALOGO!$B$2:$C$98,2,0),"")</f>
        <v>Arrendamiento y Licencias de Uso de Paquetes Informaticos</v>
      </c>
      <c r="J70" s="6">
        <v>2</v>
      </c>
      <c r="K70" s="8">
        <v>1699.55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</row>
    <row r="71" spans="1:24" ht="45" x14ac:dyDescent="0.25">
      <c r="A71" s="5" t="s">
        <v>102</v>
      </c>
      <c r="B71" s="5" t="s">
        <v>25</v>
      </c>
      <c r="C71" s="5" t="s">
        <v>95</v>
      </c>
      <c r="D71" s="5">
        <v>1</v>
      </c>
      <c r="E71" s="5">
        <v>1</v>
      </c>
      <c r="F71" s="5">
        <v>1701</v>
      </c>
      <c r="G71" s="5" t="str">
        <f t="shared" si="0"/>
        <v>53</v>
      </c>
      <c r="H71" s="5">
        <v>530702</v>
      </c>
      <c r="I71" s="6" t="str">
        <f>+IFERROR(VLOOKUP(H71,[1]CATALOGO!$B$2:$C$98,2,0),"")</f>
        <v>Arrendamiento y Licencias de Uso de Paquetes Informaticos</v>
      </c>
      <c r="J71" s="6">
        <v>2</v>
      </c>
      <c r="K71" s="8">
        <v>3174.2699999999995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</row>
    <row r="72" spans="1:24" ht="56.25" x14ac:dyDescent="0.25">
      <c r="A72" s="5" t="s">
        <v>103</v>
      </c>
      <c r="B72" s="5" t="s">
        <v>44</v>
      </c>
      <c r="C72" s="5" t="s">
        <v>45</v>
      </c>
      <c r="D72" s="5">
        <v>1</v>
      </c>
      <c r="E72" s="5">
        <v>1</v>
      </c>
      <c r="F72" s="5">
        <v>1701</v>
      </c>
      <c r="G72" s="5" t="str">
        <f t="shared" si="0"/>
        <v>53</v>
      </c>
      <c r="H72" s="5">
        <v>530704</v>
      </c>
      <c r="I72" s="6" t="str">
        <f>+IFERROR(VLOOKUP(H72,[1]CATALOGO!$B$2:$C$98,2,0),"")</f>
        <v>Mantenimiento y Reparacion de Equipos y Sistemas Informaticos</v>
      </c>
      <c r="J72" s="6">
        <v>2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</row>
    <row r="73" spans="1:24" ht="56.25" x14ac:dyDescent="0.25">
      <c r="A73" s="5" t="s">
        <v>104</v>
      </c>
      <c r="B73" s="5" t="s">
        <v>25</v>
      </c>
      <c r="C73" s="5" t="s">
        <v>95</v>
      </c>
      <c r="D73" s="5">
        <v>1</v>
      </c>
      <c r="E73" s="5">
        <v>1</v>
      </c>
      <c r="F73" s="5">
        <v>1701</v>
      </c>
      <c r="G73" s="5" t="str">
        <f t="shared" ref="G73:G136" si="1">LEFT(H73,2)</f>
        <v>53</v>
      </c>
      <c r="H73" s="5">
        <v>530704</v>
      </c>
      <c r="I73" s="6" t="str">
        <f>+IFERROR(VLOOKUP(H73,[1]CATALOGO!$B$2:$C$98,2,0),"")</f>
        <v>Mantenimiento y Reparacion de Equipos y Sistemas Informaticos</v>
      </c>
      <c r="J73" s="6">
        <v>2</v>
      </c>
      <c r="K73" s="8">
        <v>5375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</row>
    <row r="74" spans="1:24" ht="45" x14ac:dyDescent="0.25">
      <c r="A74" s="5" t="s">
        <v>105</v>
      </c>
      <c r="B74" s="5" t="s">
        <v>25</v>
      </c>
      <c r="C74" s="5" t="s">
        <v>95</v>
      </c>
      <c r="D74" s="5">
        <v>1</v>
      </c>
      <c r="E74" s="5">
        <v>1</v>
      </c>
      <c r="F74" s="5">
        <v>1701</v>
      </c>
      <c r="G74" s="5" t="str">
        <f t="shared" si="1"/>
        <v>53</v>
      </c>
      <c r="H74" s="5">
        <v>531406</v>
      </c>
      <c r="I74" s="6" t="str">
        <f>+IFERROR(VLOOKUP(H74,[1]CATALOGO!$B$2:$C$98,2,0),"")</f>
        <v>Herramientas y Equipos Menores</v>
      </c>
      <c r="J74" s="6">
        <v>2</v>
      </c>
      <c r="K74" s="8">
        <v>6475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</row>
    <row r="75" spans="1:24" ht="56.25" x14ac:dyDescent="0.25">
      <c r="A75" s="5" t="s">
        <v>106</v>
      </c>
      <c r="B75" s="5" t="s">
        <v>25</v>
      </c>
      <c r="C75" s="5" t="s">
        <v>95</v>
      </c>
      <c r="D75" s="5">
        <v>1</v>
      </c>
      <c r="E75" s="5">
        <v>1</v>
      </c>
      <c r="F75" s="5">
        <v>1701</v>
      </c>
      <c r="G75" s="5" t="str">
        <f t="shared" si="1"/>
        <v>53</v>
      </c>
      <c r="H75" s="5">
        <v>530704</v>
      </c>
      <c r="I75" s="6" t="str">
        <f>+IFERROR(VLOOKUP(H75,[1]CATALOGO!$B$2:$C$98,2,0),"")</f>
        <v>Mantenimiento y Reparacion de Equipos y Sistemas Informaticos</v>
      </c>
      <c r="J75" s="6">
        <v>2</v>
      </c>
      <c r="K75" s="8">
        <v>57806.559999999998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</row>
    <row r="76" spans="1:24" ht="45" x14ac:dyDescent="0.25">
      <c r="A76" s="5" t="s">
        <v>107</v>
      </c>
      <c r="B76" s="5" t="s">
        <v>25</v>
      </c>
      <c r="C76" s="5" t="s">
        <v>95</v>
      </c>
      <c r="D76" s="5">
        <v>1</v>
      </c>
      <c r="E76" s="5">
        <v>1</v>
      </c>
      <c r="F76" s="5">
        <v>1701</v>
      </c>
      <c r="G76" s="5" t="str">
        <f t="shared" si="1"/>
        <v>84</v>
      </c>
      <c r="H76" s="5">
        <v>840107</v>
      </c>
      <c r="I76" s="6" t="str">
        <f>+IFERROR(VLOOKUP(H76,[1]CATALOGO!$B$2:$C$98,2,0),"")</f>
        <v>Equipos, Sistemas y Paquetes Informáticos</v>
      </c>
      <c r="J76" s="6">
        <v>2</v>
      </c>
      <c r="K76" s="8">
        <v>93425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</row>
    <row r="77" spans="1:24" ht="45" x14ac:dyDescent="0.25">
      <c r="A77" s="5" t="s">
        <v>108</v>
      </c>
      <c r="B77" s="5" t="s">
        <v>25</v>
      </c>
      <c r="C77" s="5" t="s">
        <v>95</v>
      </c>
      <c r="D77" s="5">
        <v>1</v>
      </c>
      <c r="E77" s="5">
        <v>1</v>
      </c>
      <c r="F77" s="5">
        <v>1701</v>
      </c>
      <c r="G77" s="5" t="str">
        <f t="shared" si="1"/>
        <v>53</v>
      </c>
      <c r="H77" s="5">
        <v>530702</v>
      </c>
      <c r="I77" s="6" t="str">
        <f>+IFERROR(VLOOKUP(H77,[1]CATALOGO!$B$2:$C$98,2,0),"")</f>
        <v>Arrendamiento y Licencias de Uso de Paquetes Informaticos</v>
      </c>
      <c r="J77" s="6">
        <v>2</v>
      </c>
      <c r="K77" s="8">
        <v>13425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</row>
    <row r="78" spans="1:24" ht="45" x14ac:dyDescent="0.25">
      <c r="A78" s="5" t="s">
        <v>109</v>
      </c>
      <c r="B78" s="5" t="s">
        <v>25</v>
      </c>
      <c r="C78" s="5" t="s">
        <v>95</v>
      </c>
      <c r="D78" s="5">
        <v>1</v>
      </c>
      <c r="E78" s="5">
        <v>1</v>
      </c>
      <c r="F78" s="5">
        <v>1701</v>
      </c>
      <c r="G78" s="5" t="str">
        <f t="shared" si="1"/>
        <v>84</v>
      </c>
      <c r="H78" s="5">
        <v>840107</v>
      </c>
      <c r="I78" s="6" t="str">
        <f>+IFERROR(VLOOKUP(H78,[1]CATALOGO!$B$2:$C$98,2,0),"")</f>
        <v>Equipos, Sistemas y Paquetes Informáticos</v>
      </c>
      <c r="J78" s="6">
        <v>2</v>
      </c>
      <c r="K78" s="8">
        <v>-54000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</row>
    <row r="79" spans="1:24" ht="45" x14ac:dyDescent="0.25">
      <c r="A79" s="5" t="s">
        <v>110</v>
      </c>
      <c r="B79" s="5" t="s">
        <v>25</v>
      </c>
      <c r="C79" s="5" t="s">
        <v>95</v>
      </c>
      <c r="D79" s="5">
        <v>1</v>
      </c>
      <c r="E79" s="5">
        <v>1</v>
      </c>
      <c r="F79" s="5">
        <v>1701</v>
      </c>
      <c r="G79" s="5" t="str">
        <f t="shared" si="1"/>
        <v>53</v>
      </c>
      <c r="H79" s="5">
        <v>530813</v>
      </c>
      <c r="I79" s="6" t="str">
        <f>+IFERROR(VLOOKUP(H79,[1]CATALOGO!$B$2:$C$98,2,0),"")</f>
        <v>Repuestos y Accesorios</v>
      </c>
      <c r="J79" s="6">
        <v>2</v>
      </c>
      <c r="K79" s="8">
        <v>-99000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</row>
    <row r="80" spans="1:24" ht="45" x14ac:dyDescent="0.25">
      <c r="A80" s="5" t="s">
        <v>111</v>
      </c>
      <c r="B80" s="5" t="s">
        <v>25</v>
      </c>
      <c r="C80" s="5" t="s">
        <v>95</v>
      </c>
      <c r="D80" s="5">
        <v>1</v>
      </c>
      <c r="E80" s="5">
        <v>1</v>
      </c>
      <c r="F80" s="5">
        <v>1701</v>
      </c>
      <c r="G80" s="5" t="str">
        <f t="shared" si="1"/>
        <v>84</v>
      </c>
      <c r="H80" s="5">
        <v>840107</v>
      </c>
      <c r="I80" s="6" t="str">
        <f>+IFERROR(VLOOKUP(H80,[1]CATALOGO!$B$2:$C$98,2,0),"")</f>
        <v>Equipos, Sistemas y Paquetes Informáticos</v>
      </c>
      <c r="J80" s="6">
        <v>2</v>
      </c>
      <c r="K80" s="8">
        <v>56700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</row>
    <row r="81" spans="1:24" ht="56.25" x14ac:dyDescent="0.25">
      <c r="A81" s="5" t="s">
        <v>112</v>
      </c>
      <c r="B81" s="5" t="s">
        <v>28</v>
      </c>
      <c r="C81" s="5" t="s">
        <v>29</v>
      </c>
      <c r="D81" s="5">
        <v>1</v>
      </c>
      <c r="E81" s="5">
        <v>1</v>
      </c>
      <c r="F81" s="5">
        <v>1701</v>
      </c>
      <c r="G81" s="5" t="str">
        <f t="shared" si="1"/>
        <v>53</v>
      </c>
      <c r="H81" s="5">
        <v>530404</v>
      </c>
      <c r="I81" s="6" t="str">
        <f>+IFERROR(VLOOKUP(H81,[1]CATALOGO!$B$2:$C$98,2,0),"")</f>
        <v>Maquinarias y Equipos (Instalacion- Mantenimiento y Reparacion)</v>
      </c>
      <c r="J81" s="6">
        <v>2</v>
      </c>
      <c r="K81" s="8">
        <v>-2300</v>
      </c>
      <c r="L81" s="8">
        <v>3700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2500</v>
      </c>
      <c r="S81" s="8">
        <v>0</v>
      </c>
      <c r="T81" s="8">
        <v>0</v>
      </c>
      <c r="U81" s="8">
        <v>0</v>
      </c>
      <c r="V81" s="8">
        <v>0</v>
      </c>
      <c r="W81" s="8">
        <v>1200</v>
      </c>
      <c r="X81" s="8">
        <v>0</v>
      </c>
    </row>
    <row r="82" spans="1:24" ht="33.75" x14ac:dyDescent="0.25">
      <c r="A82" s="5" t="s">
        <v>113</v>
      </c>
      <c r="B82" s="5" t="s">
        <v>114</v>
      </c>
      <c r="C82" s="5" t="s">
        <v>115</v>
      </c>
      <c r="D82" s="5">
        <v>1</v>
      </c>
      <c r="E82" s="5">
        <v>1</v>
      </c>
      <c r="F82" s="5">
        <v>1701</v>
      </c>
      <c r="G82" s="5" t="str">
        <f t="shared" si="1"/>
        <v>84</v>
      </c>
      <c r="H82" s="5">
        <v>840104</v>
      </c>
      <c r="I82" s="6" t="str">
        <f>+IFERROR(VLOOKUP(H82,[1]CATALOGO!$B$2:$C$98,2,0),"")</f>
        <v>Maquinarias y Equipos</v>
      </c>
      <c r="J82" s="6">
        <v>2</v>
      </c>
      <c r="K82" s="8">
        <v>1000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</row>
    <row r="83" spans="1:24" ht="33.75" x14ac:dyDescent="0.25">
      <c r="A83" s="5" t="s">
        <v>116</v>
      </c>
      <c r="B83" s="5" t="s">
        <v>114</v>
      </c>
      <c r="C83" s="5" t="s">
        <v>115</v>
      </c>
      <c r="D83" s="5">
        <v>1</v>
      </c>
      <c r="E83" s="5">
        <v>1</v>
      </c>
      <c r="F83" s="5">
        <v>1701</v>
      </c>
      <c r="G83" s="5" t="str">
        <f t="shared" si="1"/>
        <v>84</v>
      </c>
      <c r="H83" s="5">
        <v>840104</v>
      </c>
      <c r="I83" s="6" t="str">
        <f>+IFERROR(VLOOKUP(H83,[1]CATALOGO!$B$2:$C$98,2,0),"")</f>
        <v>Maquinarias y Equipos</v>
      </c>
      <c r="J83" s="6">
        <v>2</v>
      </c>
      <c r="K83" s="8">
        <v>-69700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</row>
    <row r="84" spans="1:24" ht="45" x14ac:dyDescent="0.25">
      <c r="A84" s="5" t="s">
        <v>117</v>
      </c>
      <c r="B84" s="5" t="s">
        <v>114</v>
      </c>
      <c r="C84" s="5" t="s">
        <v>115</v>
      </c>
      <c r="D84" s="5">
        <v>1</v>
      </c>
      <c r="E84" s="5">
        <v>1</v>
      </c>
      <c r="F84" s="5">
        <v>1701</v>
      </c>
      <c r="G84" s="5" t="str">
        <f t="shared" si="1"/>
        <v>53</v>
      </c>
      <c r="H84" s="5">
        <v>530702</v>
      </c>
      <c r="I84" s="6" t="str">
        <f>+IFERROR(VLOOKUP(H84,[1]CATALOGO!$B$2:$C$98,2,0),"")</f>
        <v>Arrendamiento y Licencias de Uso de Paquetes Informaticos</v>
      </c>
      <c r="J84" s="6">
        <v>2</v>
      </c>
      <c r="K84" s="8">
        <v>7000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</row>
    <row r="85" spans="1:24" ht="168.75" x14ac:dyDescent="0.25">
      <c r="A85" s="5" t="s">
        <v>118</v>
      </c>
      <c r="B85" s="5" t="s">
        <v>114</v>
      </c>
      <c r="C85" s="5" t="s">
        <v>115</v>
      </c>
      <c r="D85" s="5">
        <v>1</v>
      </c>
      <c r="E85" s="5">
        <v>1</v>
      </c>
      <c r="F85" s="5">
        <v>1701</v>
      </c>
      <c r="G85" s="5" t="str">
        <f t="shared" si="1"/>
        <v>53</v>
      </c>
      <c r="H85" s="5">
        <v>530204</v>
      </c>
      <c r="I85" s="6" t="str">
        <f>+IFERROR(VLOOKUP(H85,[1]CATALOGO!$B$2:$C$98,2,0),"")</f>
        <v>Edicion - Impresion - Reproduccion -Publicaciones - Suscripciones - Fotocopiado - Traduccion - Empastado - Enmarcacion - Serigrafia - Fotografia - Carnetizacion - Filmacion e Imagenes Satelitales</v>
      </c>
      <c r="J85" s="6">
        <v>2</v>
      </c>
      <c r="K85" s="8">
        <v>8000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</row>
    <row r="86" spans="1:24" ht="56.25" x14ac:dyDescent="0.25">
      <c r="A86" s="5" t="s">
        <v>119</v>
      </c>
      <c r="B86" s="5" t="s">
        <v>120</v>
      </c>
      <c r="C86" s="5" t="s">
        <v>121</v>
      </c>
      <c r="D86" s="5">
        <v>55</v>
      </c>
      <c r="E86" s="5">
        <v>1</v>
      </c>
      <c r="F86" s="5">
        <v>1701</v>
      </c>
      <c r="G86" s="5" t="str">
        <f t="shared" si="1"/>
        <v>53</v>
      </c>
      <c r="H86" s="5" t="s">
        <v>122</v>
      </c>
      <c r="I86" s="6" t="str">
        <f>+IFERROR(VLOOKUP(H86,[1]CATALOGO!$B$2:$C$98,2,0),"")</f>
        <v/>
      </c>
      <c r="J86" s="6">
        <v>2</v>
      </c>
      <c r="K86" s="8">
        <v>24845.000000000004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</row>
    <row r="87" spans="1:24" ht="56.25" x14ac:dyDescent="0.25">
      <c r="A87" s="5" t="s">
        <v>123</v>
      </c>
      <c r="B87" s="5" t="s">
        <v>120</v>
      </c>
      <c r="C87" s="5" t="s">
        <v>121</v>
      </c>
      <c r="D87" s="5">
        <v>55</v>
      </c>
      <c r="E87" s="5">
        <v>1</v>
      </c>
      <c r="F87" s="5">
        <v>1701</v>
      </c>
      <c r="G87" s="5" t="str">
        <f t="shared" si="1"/>
        <v>53</v>
      </c>
      <c r="H87" s="5" t="s">
        <v>122</v>
      </c>
      <c r="I87" s="6" t="str">
        <f>+IFERROR(VLOOKUP(H87,[1]CATALOGO!$B$2:$C$98,2,0),"")</f>
        <v/>
      </c>
      <c r="J87" s="6">
        <v>2</v>
      </c>
      <c r="K87" s="8">
        <v>58615.55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</row>
    <row r="88" spans="1:24" ht="56.25" x14ac:dyDescent="0.25">
      <c r="A88" s="5" t="s">
        <v>124</v>
      </c>
      <c r="B88" s="5" t="s">
        <v>120</v>
      </c>
      <c r="C88" s="5" t="s">
        <v>121</v>
      </c>
      <c r="D88" s="5">
        <v>55</v>
      </c>
      <c r="E88" s="5">
        <v>1</v>
      </c>
      <c r="F88" s="5">
        <v>1701</v>
      </c>
      <c r="G88" s="5" t="str">
        <f t="shared" si="1"/>
        <v>53</v>
      </c>
      <c r="H88" s="5" t="s">
        <v>122</v>
      </c>
      <c r="I88" s="6" t="str">
        <f>+IFERROR(VLOOKUP(H88,[1]CATALOGO!$B$2:$C$98,2,0),"")</f>
        <v/>
      </c>
      <c r="J88" s="6">
        <v>2</v>
      </c>
      <c r="K88" s="8">
        <v>25000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</row>
    <row r="89" spans="1:24" ht="56.25" x14ac:dyDescent="0.25">
      <c r="A89" s="5" t="s">
        <v>125</v>
      </c>
      <c r="B89" s="5" t="s">
        <v>120</v>
      </c>
      <c r="C89" s="5" t="s">
        <v>121</v>
      </c>
      <c r="D89" s="11">
        <v>55</v>
      </c>
      <c r="E89" s="11">
        <v>1</v>
      </c>
      <c r="F89" s="12">
        <v>1701</v>
      </c>
      <c r="G89" s="5" t="str">
        <f t="shared" si="1"/>
        <v>53</v>
      </c>
      <c r="H89" s="5">
        <v>530702</v>
      </c>
      <c r="I89" s="6" t="str">
        <f>+IFERROR(VLOOKUP(H89,[1]CATALOGO!$B$2:$C$98,2,0),"")</f>
        <v>Arrendamiento y Licencias de Uso de Paquetes Informaticos</v>
      </c>
      <c r="J89" s="11">
        <v>2</v>
      </c>
      <c r="K89" s="8">
        <v>102265.93</v>
      </c>
      <c r="L89" s="8">
        <v>134110.93</v>
      </c>
      <c r="M89" s="8">
        <v>0</v>
      </c>
      <c r="N89" s="8">
        <v>0</v>
      </c>
      <c r="O89" s="8">
        <v>0</v>
      </c>
      <c r="P89" s="8">
        <v>0</v>
      </c>
      <c r="Q89" s="8">
        <v>0</v>
      </c>
      <c r="R89" s="8">
        <v>134110.93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</row>
    <row r="90" spans="1:24" ht="56.25" x14ac:dyDescent="0.25">
      <c r="A90" s="5" t="s">
        <v>126</v>
      </c>
      <c r="B90" s="5" t="s">
        <v>120</v>
      </c>
      <c r="C90" s="5" t="s">
        <v>121</v>
      </c>
      <c r="D90" s="11">
        <v>55</v>
      </c>
      <c r="E90" s="11">
        <v>1</v>
      </c>
      <c r="F90" s="12">
        <v>1701</v>
      </c>
      <c r="G90" s="5" t="str">
        <f>LEFT(H90,2)</f>
        <v>53</v>
      </c>
      <c r="H90" s="5">
        <v>530702</v>
      </c>
      <c r="I90" s="6" t="str">
        <f>+IFERROR(VLOOKUP(H90,[1]CATALOGO!$B$2:$C$98,2,0),"")</f>
        <v>Arrendamiento y Licencias de Uso de Paquetes Informaticos</v>
      </c>
      <c r="J90" s="11">
        <v>2</v>
      </c>
      <c r="K90" s="8">
        <v>-62705.55</v>
      </c>
      <c r="L90" s="8">
        <v>2910</v>
      </c>
      <c r="M90" s="8">
        <v>0</v>
      </c>
      <c r="N90" s="8">
        <v>2910</v>
      </c>
      <c r="O90" s="8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</row>
    <row r="91" spans="1:24" ht="56.25" x14ac:dyDescent="0.25">
      <c r="A91" s="5" t="s">
        <v>127</v>
      </c>
      <c r="B91" s="5" t="s">
        <v>120</v>
      </c>
      <c r="C91" s="5" t="s">
        <v>121</v>
      </c>
      <c r="D91" s="11">
        <v>55</v>
      </c>
      <c r="E91" s="11">
        <v>1</v>
      </c>
      <c r="F91" s="12">
        <v>1701</v>
      </c>
      <c r="G91" s="5" t="str">
        <f>LEFT(H91,2)</f>
        <v>53</v>
      </c>
      <c r="H91" s="5">
        <v>530702</v>
      </c>
      <c r="I91" s="6" t="str">
        <f>+IFERROR(VLOOKUP(H91,[1]CATALOGO!$B$2:$C$98,2,0),"")</f>
        <v>Arrendamiento y Licencias de Uso de Paquetes Informaticos</v>
      </c>
      <c r="J91" s="11">
        <v>2</v>
      </c>
      <c r="K91" s="8">
        <v>-22045.55</v>
      </c>
      <c r="L91" s="8">
        <v>12954.45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12954.45</v>
      </c>
      <c r="W91" s="8">
        <v>0</v>
      </c>
      <c r="X91" s="8">
        <v>0</v>
      </c>
    </row>
    <row r="92" spans="1:24" ht="56.25" x14ac:dyDescent="0.25">
      <c r="A92" s="5" t="s">
        <v>128</v>
      </c>
      <c r="B92" s="5" t="s">
        <v>120</v>
      </c>
      <c r="C92" s="5" t="s">
        <v>121</v>
      </c>
      <c r="D92" s="5">
        <v>55</v>
      </c>
      <c r="E92" s="5">
        <v>1</v>
      </c>
      <c r="F92" s="5">
        <v>1701</v>
      </c>
      <c r="G92" s="5" t="str">
        <f t="shared" si="1"/>
        <v>53</v>
      </c>
      <c r="H92" s="5">
        <v>530704</v>
      </c>
      <c r="I92" s="6" t="str">
        <f>+IFERROR(VLOOKUP(H92,[1]CATALOGO!$B$2:$C$98,2,0),"")</f>
        <v>Mantenimiento y Reparacion de Equipos y Sistemas Informaticos</v>
      </c>
      <c r="J92" s="6">
        <v>2</v>
      </c>
      <c r="K92" s="8">
        <v>16507.560000000001</v>
      </c>
      <c r="L92" s="8">
        <v>14031.43</v>
      </c>
      <c r="M92" s="8">
        <v>0</v>
      </c>
      <c r="N92" s="8">
        <v>0</v>
      </c>
      <c r="O92" s="8"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14031.43</v>
      </c>
      <c r="W92" s="8">
        <v>0</v>
      </c>
      <c r="X92" s="8">
        <v>0</v>
      </c>
    </row>
    <row r="93" spans="1:24" ht="45" x14ac:dyDescent="0.25">
      <c r="A93" s="5" t="s">
        <v>129</v>
      </c>
      <c r="B93" s="5" t="s">
        <v>120</v>
      </c>
      <c r="C93" s="5" t="s">
        <v>130</v>
      </c>
      <c r="D93" s="5">
        <v>55</v>
      </c>
      <c r="E93" s="5">
        <v>1</v>
      </c>
      <c r="F93" s="5">
        <v>1701</v>
      </c>
      <c r="G93" s="5" t="str">
        <f t="shared" si="1"/>
        <v>53</v>
      </c>
      <c r="H93" s="5">
        <v>530239</v>
      </c>
      <c r="I93" s="6" t="str">
        <f>+IFERROR(VLOOKUP(H93,[1]CATALOGO!$B$2:$C$98,2,0),"")</f>
        <v>Membrecias</v>
      </c>
      <c r="J93" s="6">
        <v>2</v>
      </c>
      <c r="K93" s="8">
        <v>7000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</row>
    <row r="94" spans="1:24" ht="45" x14ac:dyDescent="0.25">
      <c r="A94" s="5" t="s">
        <v>131</v>
      </c>
      <c r="B94" s="5" t="s">
        <v>120</v>
      </c>
      <c r="C94" s="5" t="s">
        <v>130</v>
      </c>
      <c r="D94" s="5">
        <v>55</v>
      </c>
      <c r="E94" s="5">
        <v>1</v>
      </c>
      <c r="F94" s="5">
        <v>1701</v>
      </c>
      <c r="G94" s="5" t="str">
        <f t="shared" si="1"/>
        <v>53</v>
      </c>
      <c r="H94" s="5">
        <v>530702</v>
      </c>
      <c r="I94" s="6" t="str">
        <f>+IFERROR(VLOOKUP(H94,[1]CATALOGO!$B$2:$C$98,2,0),"")</f>
        <v>Arrendamiento y Licencias de Uso de Paquetes Informaticos</v>
      </c>
      <c r="J94" s="6">
        <v>2</v>
      </c>
      <c r="K94" s="8">
        <v>6500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</row>
    <row r="95" spans="1:24" ht="45" x14ac:dyDescent="0.25">
      <c r="A95" s="5" t="s">
        <v>132</v>
      </c>
      <c r="B95" s="5" t="s">
        <v>120</v>
      </c>
      <c r="C95" s="5" t="s">
        <v>130</v>
      </c>
      <c r="D95" s="5">
        <v>55</v>
      </c>
      <c r="E95" s="5">
        <v>1</v>
      </c>
      <c r="F95" s="5">
        <v>1701</v>
      </c>
      <c r="G95" s="5" t="str">
        <f t="shared" si="1"/>
        <v>53</v>
      </c>
      <c r="H95" s="5">
        <v>530702</v>
      </c>
      <c r="I95" s="6" t="str">
        <f>+IFERROR(VLOOKUP(H95,[1]CATALOGO!$B$2:$C$98,2,0),"")</f>
        <v>Arrendamiento y Licencias de Uso de Paquetes Informaticos</v>
      </c>
      <c r="J95" s="6">
        <v>2</v>
      </c>
      <c r="K95" s="8">
        <v>35000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</row>
    <row r="96" spans="1:24" ht="45" x14ac:dyDescent="0.25">
      <c r="A96" s="5" t="s">
        <v>133</v>
      </c>
      <c r="B96" s="5" t="s">
        <v>120</v>
      </c>
      <c r="C96" s="5" t="s">
        <v>130</v>
      </c>
      <c r="D96" s="5">
        <v>55</v>
      </c>
      <c r="E96" s="5">
        <v>1</v>
      </c>
      <c r="F96" s="5">
        <v>1701</v>
      </c>
      <c r="G96" s="5" t="str">
        <f t="shared" si="1"/>
        <v>53</v>
      </c>
      <c r="H96" s="5">
        <v>530702</v>
      </c>
      <c r="I96" s="6" t="str">
        <f>+IFERROR(VLOOKUP(H96,[1]CATALOGO!$B$2:$C$98,2,0),"")</f>
        <v>Arrendamiento y Licencias de Uso de Paquetes Informaticos</v>
      </c>
      <c r="J96" s="6">
        <v>2</v>
      </c>
      <c r="K96" s="8">
        <v>98000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</row>
    <row r="97" spans="1:24" ht="45" x14ac:dyDescent="0.25">
      <c r="A97" s="5" t="s">
        <v>134</v>
      </c>
      <c r="B97" s="5" t="s">
        <v>120</v>
      </c>
      <c r="C97" s="5" t="s">
        <v>130</v>
      </c>
      <c r="D97" s="5">
        <v>55</v>
      </c>
      <c r="E97" s="5">
        <v>1</v>
      </c>
      <c r="F97" s="5">
        <v>1701</v>
      </c>
      <c r="G97" s="5" t="str">
        <f t="shared" si="1"/>
        <v>53</v>
      </c>
      <c r="H97" s="5">
        <v>530702</v>
      </c>
      <c r="I97" s="6" t="str">
        <f>+IFERROR(VLOOKUP(H97,[1]CATALOGO!$B$2:$C$98,2,0),"")</f>
        <v>Arrendamiento y Licencias de Uso de Paquetes Informaticos</v>
      </c>
      <c r="J97" s="6">
        <v>2</v>
      </c>
      <c r="K97" s="8">
        <v>-2500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</row>
    <row r="98" spans="1:24" ht="56.25" x14ac:dyDescent="0.25">
      <c r="A98" s="5" t="s">
        <v>135</v>
      </c>
      <c r="B98" s="5" t="s">
        <v>120</v>
      </c>
      <c r="C98" s="5" t="s">
        <v>136</v>
      </c>
      <c r="D98" s="5">
        <v>55</v>
      </c>
      <c r="E98" s="5">
        <v>1</v>
      </c>
      <c r="F98" s="5">
        <v>1701</v>
      </c>
      <c r="G98" s="5" t="str">
        <f t="shared" si="1"/>
        <v>53</v>
      </c>
      <c r="H98" s="5" t="s">
        <v>122</v>
      </c>
      <c r="I98" s="6" t="str">
        <f>+IFERROR(VLOOKUP(H98,[1]CATALOGO!$B$2:$C$98,2,0),"")</f>
        <v/>
      </c>
      <c r="J98" s="6">
        <v>2</v>
      </c>
      <c r="K98" s="8">
        <v>-25200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</row>
    <row r="99" spans="1:24" ht="56.25" x14ac:dyDescent="0.25">
      <c r="A99" s="5" t="s">
        <v>137</v>
      </c>
      <c r="B99" s="5" t="s">
        <v>120</v>
      </c>
      <c r="C99" s="5" t="s">
        <v>136</v>
      </c>
      <c r="D99" s="5">
        <v>55</v>
      </c>
      <c r="E99" s="5">
        <v>1</v>
      </c>
      <c r="F99" s="5">
        <v>1701</v>
      </c>
      <c r="G99" s="5" t="str">
        <f t="shared" si="1"/>
        <v>53</v>
      </c>
      <c r="H99" s="5" t="s">
        <v>122</v>
      </c>
      <c r="I99" s="6" t="str">
        <f>+IFERROR(VLOOKUP(H99,[1]CATALOGO!$B$2:$C$98,2,0),"")</f>
        <v/>
      </c>
      <c r="J99" s="6">
        <v>2</v>
      </c>
      <c r="K99" s="8">
        <v>-104500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</row>
    <row r="100" spans="1:24" ht="56.25" x14ac:dyDescent="0.25">
      <c r="A100" s="5" t="s">
        <v>138</v>
      </c>
      <c r="B100" s="5" t="s">
        <v>120</v>
      </c>
      <c r="C100" s="5" t="s">
        <v>136</v>
      </c>
      <c r="D100" s="5">
        <v>55</v>
      </c>
      <c r="E100" s="5">
        <v>1</v>
      </c>
      <c r="F100" s="5">
        <v>1701</v>
      </c>
      <c r="G100" s="5" t="str">
        <f t="shared" si="1"/>
        <v>53</v>
      </c>
      <c r="H100" s="5" t="s">
        <v>122</v>
      </c>
      <c r="I100" s="6" t="str">
        <f>+IFERROR(VLOOKUP(H100,[1]CATALOGO!$B$2:$C$98,2,0),"")</f>
        <v/>
      </c>
      <c r="J100" s="6">
        <v>2</v>
      </c>
      <c r="K100" s="8">
        <v>-3800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</row>
    <row r="101" spans="1:24" ht="56.25" x14ac:dyDescent="0.25">
      <c r="A101" s="5" t="s">
        <v>139</v>
      </c>
      <c r="B101" s="5" t="s">
        <v>120</v>
      </c>
      <c r="C101" s="5" t="s">
        <v>136</v>
      </c>
      <c r="D101" s="5">
        <v>55</v>
      </c>
      <c r="E101" s="5">
        <v>1</v>
      </c>
      <c r="F101" s="5">
        <v>1701</v>
      </c>
      <c r="G101" s="5" t="str">
        <f t="shared" si="1"/>
        <v>53</v>
      </c>
      <c r="H101" s="5" t="s">
        <v>122</v>
      </c>
      <c r="I101" s="6" t="str">
        <f>+IFERROR(VLOOKUP(H101,[1]CATALOGO!$B$2:$C$98,2,0),"")</f>
        <v/>
      </c>
      <c r="J101" s="6">
        <v>2</v>
      </c>
      <c r="K101" s="8">
        <v>-9629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</row>
    <row r="102" spans="1:24" ht="56.25" x14ac:dyDescent="0.25">
      <c r="A102" s="5" t="s">
        <v>140</v>
      </c>
      <c r="B102" s="5" t="s">
        <v>120</v>
      </c>
      <c r="C102" s="5" t="s">
        <v>136</v>
      </c>
      <c r="D102" s="5">
        <v>55</v>
      </c>
      <c r="E102" s="5">
        <v>1</v>
      </c>
      <c r="F102" s="5">
        <v>1701</v>
      </c>
      <c r="G102" s="5" t="str">
        <f t="shared" si="1"/>
        <v>53</v>
      </c>
      <c r="H102" s="5" t="s">
        <v>122</v>
      </c>
      <c r="I102" s="6" t="str">
        <f>+IFERROR(VLOOKUP(H102,[1]CATALOGO!$B$2:$C$98,2,0),"")</f>
        <v/>
      </c>
      <c r="J102" s="6">
        <v>2</v>
      </c>
      <c r="K102" s="8">
        <v>-300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</row>
    <row r="103" spans="1:24" ht="56.25" x14ac:dyDescent="0.25">
      <c r="A103" s="5" t="s">
        <v>141</v>
      </c>
      <c r="B103" s="5" t="s">
        <v>120</v>
      </c>
      <c r="C103" s="5" t="s">
        <v>136</v>
      </c>
      <c r="D103" s="5">
        <v>55</v>
      </c>
      <c r="E103" s="5">
        <v>1</v>
      </c>
      <c r="F103" s="5">
        <v>1701</v>
      </c>
      <c r="G103" s="5" t="str">
        <f t="shared" si="1"/>
        <v>53</v>
      </c>
      <c r="H103" s="5" t="s">
        <v>142</v>
      </c>
      <c r="I103" s="6" t="str">
        <f>+IFERROR(VLOOKUP(H103,[1]CATALOGO!$B$2:$C$98,2,0),"")</f>
        <v/>
      </c>
      <c r="J103" s="6">
        <v>2</v>
      </c>
      <c r="K103" s="8">
        <v>-200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</row>
    <row r="104" spans="1:24" ht="56.25" x14ac:dyDescent="0.25">
      <c r="A104" s="5" t="s">
        <v>143</v>
      </c>
      <c r="B104" s="5" t="s">
        <v>120</v>
      </c>
      <c r="C104" s="5" t="s">
        <v>136</v>
      </c>
      <c r="D104" s="5">
        <v>55</v>
      </c>
      <c r="E104" s="5">
        <v>1</v>
      </c>
      <c r="F104" s="5">
        <v>1701</v>
      </c>
      <c r="G104" s="5" t="str">
        <f t="shared" si="1"/>
        <v>53</v>
      </c>
      <c r="H104" s="5" t="s">
        <v>142</v>
      </c>
      <c r="I104" s="6" t="str">
        <f>+IFERROR(VLOOKUP(H104,[1]CATALOGO!$B$2:$C$98,2,0),"")</f>
        <v/>
      </c>
      <c r="J104" s="6">
        <v>2</v>
      </c>
      <c r="K104" s="8">
        <v>-121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</row>
    <row r="105" spans="1:24" ht="56.25" x14ac:dyDescent="0.25">
      <c r="A105" s="5" t="s">
        <v>144</v>
      </c>
      <c r="B105" s="5" t="s">
        <v>120</v>
      </c>
      <c r="C105" s="5" t="s">
        <v>136</v>
      </c>
      <c r="D105" s="5">
        <v>55</v>
      </c>
      <c r="E105" s="5">
        <v>1</v>
      </c>
      <c r="F105" s="5">
        <v>1701</v>
      </c>
      <c r="G105" s="5" t="str">
        <f t="shared" si="1"/>
        <v>53</v>
      </c>
      <c r="H105" s="5" t="s">
        <v>142</v>
      </c>
      <c r="I105" s="6" t="str">
        <f>+IFERROR(VLOOKUP(H105,[1]CATALOGO!$B$2:$C$98,2,0),"")</f>
        <v/>
      </c>
      <c r="J105" s="6">
        <v>2</v>
      </c>
      <c r="K105" s="8">
        <v>-150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</row>
    <row r="106" spans="1:24" ht="56.25" x14ac:dyDescent="0.25">
      <c r="A106" s="5" t="s">
        <v>145</v>
      </c>
      <c r="B106" s="5" t="s">
        <v>120</v>
      </c>
      <c r="C106" s="5" t="s">
        <v>136</v>
      </c>
      <c r="D106" s="5">
        <v>55</v>
      </c>
      <c r="E106" s="5">
        <v>1</v>
      </c>
      <c r="F106" s="5">
        <v>1701</v>
      </c>
      <c r="G106" s="5" t="str">
        <f t="shared" si="1"/>
        <v>53</v>
      </c>
      <c r="H106" s="5" t="s">
        <v>142</v>
      </c>
      <c r="I106" s="6" t="str">
        <f>+IFERROR(VLOOKUP(H106,[1]CATALOGO!$B$2:$C$98,2,0),"")</f>
        <v/>
      </c>
      <c r="J106" s="6">
        <v>2</v>
      </c>
      <c r="K106" s="8">
        <v>1000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</row>
    <row r="107" spans="1:24" ht="56.25" x14ac:dyDescent="0.25">
      <c r="A107" s="5" t="s">
        <v>146</v>
      </c>
      <c r="B107" s="5" t="s">
        <v>120</v>
      </c>
      <c r="C107" s="5" t="s">
        <v>136</v>
      </c>
      <c r="D107" s="5">
        <v>55</v>
      </c>
      <c r="E107" s="5">
        <v>1</v>
      </c>
      <c r="F107" s="5">
        <v>1701</v>
      </c>
      <c r="G107" s="5" t="str">
        <f t="shared" si="1"/>
        <v>53</v>
      </c>
      <c r="H107" s="5" t="s">
        <v>142</v>
      </c>
      <c r="I107" s="6" t="str">
        <f>+IFERROR(VLOOKUP(H107,[1]CATALOGO!$B$2:$C$98,2,0),"")</f>
        <v/>
      </c>
      <c r="J107" s="6">
        <v>2</v>
      </c>
      <c r="K107" s="8">
        <v>-50</v>
      </c>
      <c r="L107" s="9">
        <v>0</v>
      </c>
      <c r="M107" s="9">
        <v>0</v>
      </c>
      <c r="N107" s="9">
        <v>0</v>
      </c>
      <c r="O107" s="9">
        <v>0</v>
      </c>
      <c r="P107" s="9">
        <v>0</v>
      </c>
      <c r="Q107" s="9">
        <v>0</v>
      </c>
      <c r="R107" s="9">
        <v>0</v>
      </c>
      <c r="S107" s="9">
        <v>0</v>
      </c>
      <c r="T107" s="9">
        <v>0</v>
      </c>
      <c r="U107" s="9">
        <v>0</v>
      </c>
      <c r="V107" s="9">
        <v>0</v>
      </c>
      <c r="W107" s="9">
        <v>0</v>
      </c>
      <c r="X107" s="9">
        <v>0</v>
      </c>
    </row>
    <row r="108" spans="1:24" ht="78.75" x14ac:dyDescent="0.25">
      <c r="A108" s="5" t="s">
        <v>147</v>
      </c>
      <c r="B108" s="5" t="s">
        <v>148</v>
      </c>
      <c r="C108" s="5" t="s">
        <v>148</v>
      </c>
      <c r="D108" s="5">
        <v>55</v>
      </c>
      <c r="E108" s="5">
        <v>1</v>
      </c>
      <c r="F108" s="5">
        <v>1701</v>
      </c>
      <c r="G108" s="5" t="str">
        <f t="shared" si="1"/>
        <v>53</v>
      </c>
      <c r="H108" s="5">
        <v>530203</v>
      </c>
      <c r="I108" s="6" t="str">
        <f>+IFERROR(VLOOKUP(H108,[1]CATALOGO!$B$2:$C$98,2,0),"")</f>
        <v>Almacenamiento - Embalaje - Desembalaje Envase Desenvase y Recarga de Extintores</v>
      </c>
      <c r="J108" s="6">
        <v>2</v>
      </c>
      <c r="K108" s="8">
        <v>795.5</v>
      </c>
      <c r="L108" s="9">
        <v>0</v>
      </c>
      <c r="M108" s="9">
        <v>0</v>
      </c>
      <c r="N108" s="9">
        <v>0</v>
      </c>
      <c r="O108" s="9">
        <v>0</v>
      </c>
      <c r="P108" s="9">
        <v>0</v>
      </c>
      <c r="Q108" s="9">
        <v>0</v>
      </c>
      <c r="R108" s="9">
        <v>0</v>
      </c>
      <c r="S108" s="9">
        <v>0</v>
      </c>
      <c r="T108" s="9">
        <v>0</v>
      </c>
      <c r="U108" s="9">
        <v>0</v>
      </c>
      <c r="V108" s="9">
        <v>0</v>
      </c>
      <c r="W108" s="9">
        <v>0</v>
      </c>
      <c r="X108" s="9">
        <v>0</v>
      </c>
    </row>
    <row r="109" spans="1:24" ht="78.75" x14ac:dyDescent="0.25">
      <c r="A109" s="5" t="s">
        <v>149</v>
      </c>
      <c r="B109" s="5" t="s">
        <v>148</v>
      </c>
      <c r="C109" s="5" t="s">
        <v>148</v>
      </c>
      <c r="D109" s="5">
        <v>1</v>
      </c>
      <c r="E109" s="5">
        <v>1</v>
      </c>
      <c r="F109" s="5">
        <v>1701</v>
      </c>
      <c r="G109" s="5" t="str">
        <f t="shared" si="1"/>
        <v>53</v>
      </c>
      <c r="H109" s="5">
        <v>530203</v>
      </c>
      <c r="I109" s="6" t="str">
        <f>+IFERROR(VLOOKUP(H109,[1]CATALOGO!$B$2:$C$98,2,0),"")</f>
        <v>Almacenamiento - Embalaje - Desembalaje Envase Desenvase y Recarga de Extintores</v>
      </c>
      <c r="J109" s="6">
        <v>2</v>
      </c>
      <c r="K109" s="8">
        <v>11146</v>
      </c>
      <c r="L109" s="8">
        <v>7672.7300000000005</v>
      </c>
      <c r="M109" s="8">
        <v>0</v>
      </c>
      <c r="N109" s="8">
        <v>211.38</v>
      </c>
      <c r="O109" s="8">
        <v>659.49</v>
      </c>
      <c r="P109" s="8">
        <v>659.49</v>
      </c>
      <c r="Q109" s="8">
        <v>659.49</v>
      </c>
      <c r="R109" s="8">
        <v>659.49</v>
      </c>
      <c r="S109" s="8">
        <v>826.91</v>
      </c>
      <c r="T109" s="8">
        <v>812.96</v>
      </c>
      <c r="U109" s="8">
        <v>727.35</v>
      </c>
      <c r="V109" s="8">
        <v>935.85</v>
      </c>
      <c r="W109" s="8">
        <v>773.08</v>
      </c>
      <c r="X109" s="8">
        <v>747.24</v>
      </c>
    </row>
    <row r="110" spans="1:24" ht="45" x14ac:dyDescent="0.25">
      <c r="A110" s="5" t="s">
        <v>150</v>
      </c>
      <c r="B110" s="13" t="s">
        <v>151</v>
      </c>
      <c r="C110" s="13" t="s">
        <v>152</v>
      </c>
      <c r="D110" s="11">
        <v>1</v>
      </c>
      <c r="E110" s="11">
        <v>1</v>
      </c>
      <c r="F110" s="12">
        <v>1700</v>
      </c>
      <c r="G110" s="5" t="str">
        <f t="shared" si="1"/>
        <v>51</v>
      </c>
      <c r="H110" s="5" t="s">
        <v>153</v>
      </c>
      <c r="I110" s="6" t="str">
        <f>+IFERROR(VLOOKUP(H110,[1]CATALOGO!$B$2:$C$98,2,0),"")</f>
        <v>Remuneraciones Unificadas</v>
      </c>
      <c r="J110" s="11">
        <v>2</v>
      </c>
      <c r="K110" s="8">
        <v>1212541.6800000002</v>
      </c>
      <c r="L110" s="8">
        <v>1090816.3500000001</v>
      </c>
      <c r="M110" s="8">
        <v>87986.47</v>
      </c>
      <c r="N110" s="8">
        <f>478.6+92814.14</f>
        <v>93292.74</v>
      </c>
      <c r="O110" s="8">
        <f>92.27+92520.14</f>
        <v>92612.41</v>
      </c>
      <c r="P110" s="8">
        <v>253</v>
      </c>
      <c r="Q110" s="8">
        <f>92615.27+93540.41</f>
        <v>186155.68</v>
      </c>
      <c r="R110" s="8">
        <f>93248.0100000001-1188.22</f>
        <v>92059.790000000095</v>
      </c>
      <c r="S110" s="8">
        <f>90699.8099999999+240.539999999921</f>
        <v>90940.349999999817</v>
      </c>
      <c r="T110" s="8">
        <v>89658.680000000051</v>
      </c>
      <c r="U110" s="8">
        <f>717.07+89436.88</f>
        <v>90153.950000000012</v>
      </c>
      <c r="V110" s="8">
        <f>1188.23+87592.0399999999</f>
        <v>88780.269999999902</v>
      </c>
      <c r="W110" s="8">
        <f>806+315.73+710.4+88703.8300000001</f>
        <v>90535.960000000108</v>
      </c>
      <c r="X110" s="8">
        <v>88387.05</v>
      </c>
    </row>
    <row r="111" spans="1:24" ht="45" x14ac:dyDescent="0.25">
      <c r="A111" s="5" t="s">
        <v>154</v>
      </c>
      <c r="B111" s="13" t="s">
        <v>151</v>
      </c>
      <c r="C111" s="13" t="s">
        <v>152</v>
      </c>
      <c r="D111" s="12">
        <v>55</v>
      </c>
      <c r="E111" s="11">
        <v>1</v>
      </c>
      <c r="F111" s="12">
        <v>1700</v>
      </c>
      <c r="G111" s="5" t="str">
        <f t="shared" si="1"/>
        <v>51</v>
      </c>
      <c r="H111" s="5" t="s">
        <v>153</v>
      </c>
      <c r="I111" s="6" t="str">
        <f>+IFERROR(VLOOKUP(H111,[1]CATALOGO!$B$2:$C$98,2,0),"")</f>
        <v>Remuneraciones Unificadas</v>
      </c>
      <c r="J111" s="11">
        <v>2</v>
      </c>
      <c r="K111" s="8">
        <v>1855686.9800000002</v>
      </c>
      <c r="L111" s="8">
        <v>1450514.53</v>
      </c>
      <c r="M111" s="8">
        <v>126168.98</v>
      </c>
      <c r="N111" s="8">
        <f>1005.6+131822.01</f>
        <v>132827.61000000002</v>
      </c>
      <c r="O111" s="8">
        <v>132037.57999999999</v>
      </c>
      <c r="P111" s="8">
        <v>0</v>
      </c>
      <c r="Q111" s="8">
        <f>134692.51+134285.11</f>
        <v>268977.62</v>
      </c>
      <c r="R111" s="8">
        <v>133563.97999999998</v>
      </c>
      <c r="S111" s="8">
        <f>1004+114114.61+10228.76</f>
        <v>125347.37</v>
      </c>
      <c r="T111" s="8">
        <f>103555.45+104183.62</f>
        <v>207739.07</v>
      </c>
      <c r="U111" s="8">
        <v>0</v>
      </c>
      <c r="V111" s="8">
        <f>157.82+110542.72</f>
        <v>110700.54000000001</v>
      </c>
      <c r="W111" s="8">
        <f>111409.72-77.22</f>
        <v>111332.5</v>
      </c>
      <c r="X111" s="8">
        <f>87.22+101732.06</f>
        <v>101819.28</v>
      </c>
    </row>
    <row r="112" spans="1:24" ht="45" x14ac:dyDescent="0.25">
      <c r="A112" s="5" t="s">
        <v>155</v>
      </c>
      <c r="B112" s="13" t="s">
        <v>151</v>
      </c>
      <c r="C112" s="13" t="s">
        <v>152</v>
      </c>
      <c r="D112" s="11">
        <v>1</v>
      </c>
      <c r="E112" s="11">
        <v>1</v>
      </c>
      <c r="F112" s="11">
        <v>1700</v>
      </c>
      <c r="G112" s="5" t="str">
        <f t="shared" si="1"/>
        <v>51</v>
      </c>
      <c r="H112" s="5" t="s">
        <v>156</v>
      </c>
      <c r="I112" s="6" t="str">
        <f>+IFERROR(VLOOKUP(H112,[1]CATALOGO!$B$2:$C$98,2,0),"")</f>
        <v>Salarios Unificados</v>
      </c>
      <c r="J112" s="11">
        <v>2</v>
      </c>
      <c r="K112" s="8">
        <v>80151.820000000007</v>
      </c>
      <c r="L112" s="8">
        <v>108405.05</v>
      </c>
      <c r="M112" s="8">
        <v>6749.86</v>
      </c>
      <c r="N112" s="8">
        <v>6188.86</v>
      </c>
      <c r="O112" s="8">
        <v>9363.8600000000024</v>
      </c>
      <c r="P112" s="8">
        <f>9959.86+9959.86</f>
        <v>19919.72</v>
      </c>
      <c r="Q112" s="8">
        <v>0</v>
      </c>
      <c r="R112" s="8">
        <v>9959.86</v>
      </c>
      <c r="S112" s="8">
        <f>9363.85999999999+39.73</f>
        <v>9403.5899999999892</v>
      </c>
      <c r="T112" s="8">
        <v>9363.8600000000079</v>
      </c>
      <c r="U112" s="8">
        <v>9363.86</v>
      </c>
      <c r="V112" s="8">
        <v>9363.86</v>
      </c>
      <c r="W112" s="8">
        <v>9363.86</v>
      </c>
      <c r="X112" s="8">
        <v>9363.86</v>
      </c>
    </row>
    <row r="113" spans="1:24" ht="45" x14ac:dyDescent="0.25">
      <c r="A113" s="5" t="s">
        <v>157</v>
      </c>
      <c r="B113" s="13" t="s">
        <v>151</v>
      </c>
      <c r="C113" s="13" t="s">
        <v>152</v>
      </c>
      <c r="D113" s="12">
        <v>55</v>
      </c>
      <c r="E113" s="11">
        <v>1</v>
      </c>
      <c r="F113" s="12">
        <v>1700</v>
      </c>
      <c r="G113" s="5" t="str">
        <f t="shared" si="1"/>
        <v>51</v>
      </c>
      <c r="H113" s="5" t="s">
        <v>156</v>
      </c>
      <c r="I113" s="6" t="str">
        <f>+IFERROR(VLOOKUP(H113,[1]CATALOGO!$B$2:$C$98,2,0),"")</f>
        <v>Salarios Unificados</v>
      </c>
      <c r="J113" s="11">
        <v>2</v>
      </c>
      <c r="K113" s="8">
        <v>-95616.209999999963</v>
      </c>
      <c r="L113" s="8">
        <v>10738</v>
      </c>
      <c r="M113" s="8">
        <v>1652</v>
      </c>
      <c r="N113" s="8">
        <v>826</v>
      </c>
      <c r="O113" s="8">
        <v>826</v>
      </c>
      <c r="P113" s="8">
        <f>826+826</f>
        <v>1652</v>
      </c>
      <c r="Q113" s="8">
        <v>0</v>
      </c>
      <c r="R113" s="8">
        <v>826</v>
      </c>
      <c r="S113" s="8">
        <v>826</v>
      </c>
      <c r="T113" s="8">
        <v>826</v>
      </c>
      <c r="U113" s="8">
        <v>826</v>
      </c>
      <c r="V113" s="8">
        <v>826</v>
      </c>
      <c r="W113" s="8">
        <v>826</v>
      </c>
      <c r="X113" s="8">
        <v>826</v>
      </c>
    </row>
    <row r="114" spans="1:24" ht="45" x14ac:dyDescent="0.25">
      <c r="A114" s="5" t="s">
        <v>158</v>
      </c>
      <c r="B114" s="13" t="s">
        <v>151</v>
      </c>
      <c r="C114" s="13" t="s">
        <v>152</v>
      </c>
      <c r="D114" s="11">
        <v>1</v>
      </c>
      <c r="E114" s="11">
        <v>1</v>
      </c>
      <c r="F114" s="12">
        <v>1700</v>
      </c>
      <c r="G114" s="5" t="str">
        <f t="shared" si="1"/>
        <v>51</v>
      </c>
      <c r="H114" s="5" t="s">
        <v>159</v>
      </c>
      <c r="I114" s="6" t="str">
        <f>+IFERROR(VLOOKUP(H114,[1]CATALOGO!$B$2:$C$98,2,0),"")</f>
        <v>Decimo Tercer Sueldo</v>
      </c>
      <c r="J114" s="11">
        <v>2</v>
      </c>
      <c r="K114" s="8">
        <v>-217817.34000000055</v>
      </c>
      <c r="L114" s="8">
        <v>115761.2</v>
      </c>
      <c r="M114" s="8">
        <v>4278.74</v>
      </c>
      <c r="N114" s="8">
        <f>4767.06+19.73</f>
        <v>4786.79</v>
      </c>
      <c r="O114" s="8">
        <v>4689.1500000000015</v>
      </c>
      <c r="P114" s="8">
        <f>61.08+21.08+5234.83</f>
        <v>5316.99</v>
      </c>
      <c r="Q114" s="8">
        <f>522.22+4+5231.12</f>
        <v>5757.34</v>
      </c>
      <c r="R114" s="8">
        <f>189.65+5165.07-111.82</f>
        <v>5242.9</v>
      </c>
      <c r="S114" s="8">
        <f>4960.65+10.02</f>
        <v>4970.67</v>
      </c>
      <c r="T114" s="8">
        <v>4956.1600000000035</v>
      </c>
      <c r="U114" s="8">
        <f>1089.67000000001+5103.91</f>
        <v>6193.5800000000099</v>
      </c>
      <c r="V114" s="8">
        <f>144.92+4704.02999999999</f>
        <v>4848.9499999999898</v>
      </c>
      <c r="W114" s="8">
        <f>67.17+61.12+60920.78+59.08+26.44</f>
        <v>61134.590000000004</v>
      </c>
      <c r="X114" s="8">
        <f>2349.36+0.2+1235.78</f>
        <v>3585.34</v>
      </c>
    </row>
    <row r="115" spans="1:24" ht="45" x14ac:dyDescent="0.25">
      <c r="A115" s="5" t="s">
        <v>160</v>
      </c>
      <c r="B115" s="13" t="s">
        <v>151</v>
      </c>
      <c r="C115" s="13" t="s">
        <v>152</v>
      </c>
      <c r="D115" s="12">
        <v>55</v>
      </c>
      <c r="E115" s="11">
        <v>1</v>
      </c>
      <c r="F115" s="12">
        <v>1700</v>
      </c>
      <c r="G115" s="5" t="str">
        <f t="shared" si="1"/>
        <v>51</v>
      </c>
      <c r="H115" s="5" t="s">
        <v>159</v>
      </c>
      <c r="I115" s="6" t="str">
        <f>+IFERROR(VLOOKUP(H115,[1]CATALOGO!$B$2:$C$98,2,0),"")</f>
        <v>Decimo Tercer Sueldo</v>
      </c>
      <c r="J115" s="11">
        <v>2</v>
      </c>
      <c r="K115" s="8">
        <v>210298.03999999998</v>
      </c>
      <c r="L115" s="8">
        <v>163982.85</v>
      </c>
      <c r="M115" s="8">
        <v>5406.52</v>
      </c>
      <c r="N115" s="8">
        <f>4071.34+137.67</f>
        <v>4209.01</v>
      </c>
      <c r="O115" s="8">
        <v>4282.07</v>
      </c>
      <c r="P115" s="8">
        <f>139.67+4548.57</f>
        <v>4688.24</v>
      </c>
      <c r="Q115" s="8">
        <v>4548.57</v>
      </c>
      <c r="R115" s="8">
        <f>101+4649.57</f>
        <v>4750.57</v>
      </c>
      <c r="S115" s="8">
        <f>332.17+4257.85+298.28</f>
        <v>4888.3</v>
      </c>
      <c r="T115" s="8">
        <v>3917.3700000000026</v>
      </c>
      <c r="U115" s="8">
        <f>61.010000000002+3775.24+5189.16</f>
        <v>9025.4100000000017</v>
      </c>
      <c r="V115" s="8">
        <f>43.3+4111.49999999999</f>
        <v>4154.7999999999902</v>
      </c>
      <c r="W115" s="8">
        <f>108167.56+2415.14000000001</f>
        <v>110582.70000000001</v>
      </c>
      <c r="X115" s="8">
        <f>2127.32+1401.97</f>
        <v>3529.29</v>
      </c>
    </row>
    <row r="116" spans="1:24" ht="45" x14ac:dyDescent="0.25">
      <c r="A116" s="5" t="s">
        <v>161</v>
      </c>
      <c r="B116" s="13" t="s">
        <v>151</v>
      </c>
      <c r="C116" s="13" t="s">
        <v>152</v>
      </c>
      <c r="D116" s="11">
        <v>1</v>
      </c>
      <c r="E116" s="11">
        <v>1</v>
      </c>
      <c r="F116" s="12">
        <v>1700</v>
      </c>
      <c r="G116" s="5" t="str">
        <f t="shared" si="1"/>
        <v>51</v>
      </c>
      <c r="H116" s="5" t="s">
        <v>162</v>
      </c>
      <c r="I116" s="6" t="str">
        <f>+IFERROR(VLOOKUP(H116,[1]CATALOGO!$B$2:$C$98,2,0),"")</f>
        <v>Decimo Cuarto Sueldo</v>
      </c>
      <c r="J116" s="11">
        <v>2</v>
      </c>
      <c r="K116" s="8">
        <v>31340</v>
      </c>
      <c r="L116" s="8">
        <v>33819.469999999994</v>
      </c>
      <c r="M116" s="8">
        <v>1168.57</v>
      </c>
      <c r="N116" s="8">
        <f>235+1488.44+7.02</f>
        <v>1730.46</v>
      </c>
      <c r="O116" s="8">
        <v>1292.6100000000006</v>
      </c>
      <c r="P116" s="8">
        <f>39.17+1446.68</f>
        <v>1485.8500000000001</v>
      </c>
      <c r="Q116" s="8">
        <f>220.36+1449.29</f>
        <v>1669.65</v>
      </c>
      <c r="R116" s="8">
        <f>39.17+1449.28-22.19</f>
        <v>1466.26</v>
      </c>
      <c r="S116" s="8">
        <v>1410.12</v>
      </c>
      <c r="T116" s="8">
        <f>15668.77+1731.27</f>
        <v>17400.04</v>
      </c>
      <c r="U116" s="8">
        <f>210.449999999997+1389.23</f>
        <v>1599.6799999999971</v>
      </c>
      <c r="V116" s="8">
        <f>25.1+1395.76</f>
        <v>1420.86</v>
      </c>
      <c r="W116" s="8">
        <f>13.06+44.39+1506.74</f>
        <v>1564.19</v>
      </c>
      <c r="X116" s="8">
        <f>5.22+1605.96</f>
        <v>1611.18</v>
      </c>
    </row>
    <row r="117" spans="1:24" ht="45" x14ac:dyDescent="0.25">
      <c r="A117" s="5" t="s">
        <v>163</v>
      </c>
      <c r="B117" s="13" t="s">
        <v>151</v>
      </c>
      <c r="C117" s="13" t="s">
        <v>152</v>
      </c>
      <c r="D117" s="12">
        <v>55</v>
      </c>
      <c r="E117" s="11">
        <v>1</v>
      </c>
      <c r="F117" s="12">
        <v>1700</v>
      </c>
      <c r="G117" s="5" t="str">
        <f t="shared" si="1"/>
        <v>51</v>
      </c>
      <c r="H117" s="5" t="s">
        <v>162</v>
      </c>
      <c r="I117" s="6" t="str">
        <f>+IFERROR(VLOOKUP(H117,[1]CATALOGO!$B$2:$C$98,2,0),"")</f>
        <v>Decimo Cuarto Sueldo</v>
      </c>
      <c r="J117" s="11">
        <v>2</v>
      </c>
      <c r="K117" s="8">
        <v>51406.460000000021</v>
      </c>
      <c r="L117" s="8">
        <v>40755.529999999992</v>
      </c>
      <c r="M117" s="8">
        <v>1120.26</v>
      </c>
      <c r="N117" s="8">
        <f>1061.51+235</f>
        <v>1296.51</v>
      </c>
      <c r="O117" s="8">
        <f>2043.63+1096.76</f>
        <v>3140.3900000000003</v>
      </c>
      <c r="P117" s="8">
        <f>39.17+1214.27</f>
        <v>1253.44</v>
      </c>
      <c r="Q117" s="8">
        <v>1214.27</v>
      </c>
      <c r="R117" s="8">
        <f>39.17+274.17+1253.44</f>
        <v>1566.7800000000002</v>
      </c>
      <c r="S117" s="8">
        <v>1171.18</v>
      </c>
      <c r="T117" s="8">
        <f>21070.57+1819</f>
        <v>22889.57</v>
      </c>
      <c r="U117" s="8">
        <f>5.22000000000116+1220.71999999999+1095.43000000001</f>
        <v>2321.3700000000013</v>
      </c>
      <c r="V117" s="8">
        <f>1.31+1134.62</f>
        <v>1135.9299999999998</v>
      </c>
      <c r="W117" s="8">
        <f>776.8-30.82+1518.46999999999</f>
        <v>2264.4499999999898</v>
      </c>
      <c r="X117" s="8">
        <f>156.67+1224.71</f>
        <v>1381.38</v>
      </c>
    </row>
    <row r="118" spans="1:24" ht="45" x14ac:dyDescent="0.25">
      <c r="A118" s="5" t="s">
        <v>164</v>
      </c>
      <c r="B118" s="13" t="s">
        <v>151</v>
      </c>
      <c r="C118" s="13" t="s">
        <v>152</v>
      </c>
      <c r="D118" s="11">
        <v>1</v>
      </c>
      <c r="E118" s="11">
        <v>1</v>
      </c>
      <c r="F118" s="12">
        <v>1700</v>
      </c>
      <c r="G118" s="5" t="str">
        <f t="shared" si="1"/>
        <v>51</v>
      </c>
      <c r="H118" s="5" t="s">
        <v>165</v>
      </c>
      <c r="I118" s="6" t="str">
        <f>+IFERROR(VLOOKUP(H118,[1]CATALOGO!$B$2:$C$98,2,0),"")</f>
        <v>Compensacion por Transporte</v>
      </c>
      <c r="J118" s="11">
        <v>2</v>
      </c>
      <c r="K118" s="8">
        <v>-10412.559999999998</v>
      </c>
      <c r="L118" s="8">
        <v>143</v>
      </c>
      <c r="M118" s="8">
        <v>64.5</v>
      </c>
      <c r="N118" s="8">
        <f>5+43.5</f>
        <v>48.5</v>
      </c>
      <c r="O118" s="8">
        <v>0</v>
      </c>
      <c r="P118" s="8">
        <v>0</v>
      </c>
      <c r="Q118" s="8">
        <f>9.5+10.5</f>
        <v>20</v>
      </c>
      <c r="R118" s="8">
        <v>10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</row>
    <row r="119" spans="1:24" ht="45" x14ac:dyDescent="0.25">
      <c r="A119" s="5" t="s">
        <v>166</v>
      </c>
      <c r="B119" s="13" t="s">
        <v>151</v>
      </c>
      <c r="C119" s="13" t="s">
        <v>152</v>
      </c>
      <c r="D119" s="11">
        <v>55</v>
      </c>
      <c r="E119" s="11">
        <v>1</v>
      </c>
      <c r="F119" s="12">
        <v>1700</v>
      </c>
      <c r="G119" s="5" t="str">
        <f t="shared" si="1"/>
        <v>51</v>
      </c>
      <c r="H119" s="5" t="s">
        <v>165</v>
      </c>
      <c r="I119" s="6" t="str">
        <f>+IFERROR(VLOOKUP(H119,[1]CATALOGO!$B$2:$C$98,2,0),"")</f>
        <v>Compensacion por Transporte</v>
      </c>
      <c r="J119" s="11">
        <v>2</v>
      </c>
      <c r="K119" s="8">
        <v>3000.820000000007</v>
      </c>
      <c r="L119" s="8">
        <v>29.5</v>
      </c>
      <c r="M119" s="8">
        <v>18.5</v>
      </c>
      <c r="N119" s="8">
        <v>5.5</v>
      </c>
      <c r="O119" s="8">
        <v>5.5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</row>
    <row r="120" spans="1:24" ht="45" x14ac:dyDescent="0.25">
      <c r="A120" s="5" t="s">
        <v>167</v>
      </c>
      <c r="B120" s="13" t="s">
        <v>151</v>
      </c>
      <c r="C120" s="13" t="s">
        <v>152</v>
      </c>
      <c r="D120" s="11">
        <v>1</v>
      </c>
      <c r="E120" s="11">
        <v>1</v>
      </c>
      <c r="F120" s="12">
        <v>1700</v>
      </c>
      <c r="G120" s="5" t="str">
        <f t="shared" si="1"/>
        <v>51</v>
      </c>
      <c r="H120" s="5" t="s">
        <v>168</v>
      </c>
      <c r="I120" s="6" t="str">
        <f>+IFERROR(VLOOKUP(H120,[1]CATALOGO!$B$2:$C$98,2,0),"")</f>
        <v>Alimentacion</v>
      </c>
      <c r="J120" s="11">
        <v>2</v>
      </c>
      <c r="K120" s="8">
        <v>15234</v>
      </c>
      <c r="L120" s="8">
        <v>10232</v>
      </c>
      <c r="M120" s="8">
        <v>516</v>
      </c>
      <c r="N120" s="8">
        <f>60+628</f>
        <v>688</v>
      </c>
      <c r="O120" s="8">
        <v>652</v>
      </c>
      <c r="P120" s="8">
        <v>0</v>
      </c>
      <c r="Q120" s="8">
        <f>948+1104</f>
        <v>2052</v>
      </c>
      <c r="R120" s="8">
        <v>988</v>
      </c>
      <c r="S120" s="8">
        <v>880</v>
      </c>
      <c r="T120" s="8">
        <v>1000</v>
      </c>
      <c r="U120" s="8">
        <v>856</v>
      </c>
      <c r="V120" s="8">
        <v>904</v>
      </c>
      <c r="W120" s="8">
        <v>928</v>
      </c>
      <c r="X120" s="8">
        <v>768</v>
      </c>
    </row>
    <row r="121" spans="1:24" ht="45" x14ac:dyDescent="0.25">
      <c r="A121" s="5" t="s">
        <v>169</v>
      </c>
      <c r="B121" s="13" t="s">
        <v>151</v>
      </c>
      <c r="C121" s="13" t="s">
        <v>152</v>
      </c>
      <c r="D121" s="12">
        <v>55</v>
      </c>
      <c r="E121" s="11">
        <v>1</v>
      </c>
      <c r="F121" s="12">
        <v>1700</v>
      </c>
      <c r="G121" s="5" t="str">
        <f t="shared" si="1"/>
        <v>51</v>
      </c>
      <c r="H121" s="5" t="s">
        <v>168</v>
      </c>
      <c r="I121" s="6" t="str">
        <f>+IFERROR(VLOOKUP(H121,[1]CATALOGO!$B$2:$C$98,2,0),"")</f>
        <v>Alimentacion</v>
      </c>
      <c r="J121" s="11">
        <v>2</v>
      </c>
      <c r="K121" s="8">
        <v>2112</v>
      </c>
      <c r="L121" s="8">
        <v>1068</v>
      </c>
      <c r="M121" s="8">
        <v>148</v>
      </c>
      <c r="N121" s="8">
        <v>80</v>
      </c>
      <c r="O121" s="8">
        <f>76+80</f>
        <v>156</v>
      </c>
      <c r="P121" s="8">
        <v>0</v>
      </c>
      <c r="Q121" s="8">
        <f>36+80</f>
        <v>116</v>
      </c>
      <c r="R121" s="8">
        <v>80</v>
      </c>
      <c r="S121" s="8">
        <v>84</v>
      </c>
      <c r="T121" s="8">
        <v>88</v>
      </c>
      <c r="U121" s="8">
        <v>80</v>
      </c>
      <c r="V121" s="8">
        <v>80</v>
      </c>
      <c r="W121" s="8">
        <v>84</v>
      </c>
      <c r="X121" s="8">
        <v>72</v>
      </c>
    </row>
    <row r="122" spans="1:24" ht="45" x14ac:dyDescent="0.25">
      <c r="A122" s="5" t="s">
        <v>170</v>
      </c>
      <c r="B122" s="13" t="s">
        <v>151</v>
      </c>
      <c r="C122" s="13" t="s">
        <v>152</v>
      </c>
      <c r="D122" s="11">
        <v>1</v>
      </c>
      <c r="E122" s="11">
        <v>1</v>
      </c>
      <c r="F122" s="11">
        <v>1700</v>
      </c>
      <c r="G122" s="5" t="str">
        <f t="shared" si="1"/>
        <v>51</v>
      </c>
      <c r="H122" s="5" t="s">
        <v>171</v>
      </c>
      <c r="I122" s="6" t="str">
        <f>+IFERROR(VLOOKUP(H122,[1]CATALOGO!$B$2:$C$98,2,0),"")</f>
        <v>Por Cargas Familiares</v>
      </c>
      <c r="J122" s="11">
        <v>2</v>
      </c>
      <c r="K122" s="8">
        <v>549.6</v>
      </c>
      <c r="L122" s="8">
        <v>638.40000000000009</v>
      </c>
      <c r="M122" s="8">
        <v>36.799999999999997</v>
      </c>
      <c r="N122" s="8">
        <v>37.6</v>
      </c>
      <c r="O122" s="8">
        <v>42.3</v>
      </c>
      <c r="P122" s="8">
        <v>0</v>
      </c>
      <c r="Q122" s="8">
        <f>70.5+70.5</f>
        <v>141</v>
      </c>
      <c r="R122" s="8">
        <v>70.5</v>
      </c>
      <c r="S122" s="8">
        <v>51.7</v>
      </c>
      <c r="T122" s="8">
        <v>51.7</v>
      </c>
      <c r="U122" s="8">
        <v>51.7</v>
      </c>
      <c r="V122" s="8">
        <v>51.7</v>
      </c>
      <c r="W122" s="8">
        <v>51.7</v>
      </c>
      <c r="X122" s="8">
        <v>51.7</v>
      </c>
    </row>
    <row r="123" spans="1:24" ht="45" x14ac:dyDescent="0.25">
      <c r="A123" s="5" t="s">
        <v>172</v>
      </c>
      <c r="B123" s="13" t="s">
        <v>151</v>
      </c>
      <c r="C123" s="13" t="s">
        <v>152</v>
      </c>
      <c r="D123" s="11">
        <v>55</v>
      </c>
      <c r="E123" s="11">
        <v>1</v>
      </c>
      <c r="F123" s="11">
        <v>1700</v>
      </c>
      <c r="G123" s="5" t="str">
        <f t="shared" si="1"/>
        <v>51</v>
      </c>
      <c r="H123" s="5" t="s">
        <v>171</v>
      </c>
      <c r="I123" s="6" t="str">
        <f>+IFERROR(VLOOKUP(H123,[1]CATALOGO!$B$2:$C$98,2,0),"")</f>
        <v>Por Cargas Familiares</v>
      </c>
      <c r="J123" s="11">
        <v>2</v>
      </c>
      <c r="K123" s="8">
        <v>3440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9">
        <v>0</v>
      </c>
      <c r="T123" s="9">
        <v>0</v>
      </c>
      <c r="U123" s="9">
        <v>0</v>
      </c>
      <c r="V123" s="9">
        <v>0</v>
      </c>
      <c r="W123" s="9">
        <v>0</v>
      </c>
      <c r="X123" s="9">
        <v>0</v>
      </c>
    </row>
    <row r="124" spans="1:24" ht="45" x14ac:dyDescent="0.25">
      <c r="A124" s="5" t="s">
        <v>173</v>
      </c>
      <c r="B124" s="13" t="s">
        <v>151</v>
      </c>
      <c r="C124" s="13" t="s">
        <v>152</v>
      </c>
      <c r="D124" s="11">
        <v>1</v>
      </c>
      <c r="E124" s="11">
        <v>1</v>
      </c>
      <c r="F124" s="11">
        <v>1700</v>
      </c>
      <c r="G124" s="5" t="str">
        <f t="shared" si="1"/>
        <v>51</v>
      </c>
      <c r="H124" s="5" t="s">
        <v>174</v>
      </c>
      <c r="I124" s="6" t="str">
        <f>+IFERROR(VLOOKUP(H124,[1]CATALOGO!$B$2:$C$98,2,0),"")</f>
        <v>Subsidio de Antiguedad</v>
      </c>
      <c r="J124" s="11">
        <v>2</v>
      </c>
      <c r="K124" s="8">
        <v>2260.3418181818179</v>
      </c>
      <c r="L124" s="8">
        <v>2049.54</v>
      </c>
      <c r="M124" s="8">
        <v>173.22</v>
      </c>
      <c r="N124" s="8">
        <f>12.62+164.15</f>
        <v>176.77</v>
      </c>
      <c r="O124" s="8">
        <v>164.15</v>
      </c>
      <c r="P124" s="8">
        <v>0</v>
      </c>
      <c r="Q124" s="8">
        <f>164.15+167.91</f>
        <v>332.06</v>
      </c>
      <c r="R124" s="8">
        <v>167.91</v>
      </c>
      <c r="S124" s="8">
        <v>171.33</v>
      </c>
      <c r="T124" s="8">
        <v>171.32999999999993</v>
      </c>
      <c r="U124" s="8">
        <v>172.81999999999994</v>
      </c>
      <c r="V124" s="8">
        <v>172.82</v>
      </c>
      <c r="W124" s="8">
        <v>172.82</v>
      </c>
      <c r="X124" s="8">
        <v>174.31</v>
      </c>
    </row>
    <row r="125" spans="1:24" ht="45" x14ac:dyDescent="0.25">
      <c r="A125" s="5" t="s">
        <v>175</v>
      </c>
      <c r="B125" s="13" t="s">
        <v>151</v>
      </c>
      <c r="C125" s="13" t="s">
        <v>152</v>
      </c>
      <c r="D125" s="11">
        <v>55</v>
      </c>
      <c r="E125" s="11">
        <v>1</v>
      </c>
      <c r="F125" s="11">
        <v>1700</v>
      </c>
      <c r="G125" s="5" t="str">
        <f t="shared" si="1"/>
        <v>51</v>
      </c>
      <c r="H125" s="5" t="s">
        <v>174</v>
      </c>
      <c r="I125" s="6" t="str">
        <f>+IFERROR(VLOOKUP(H125,[1]CATALOGO!$B$2:$C$98,2,0),"")</f>
        <v>Subsidio de Antiguedad</v>
      </c>
      <c r="J125" s="11">
        <v>2</v>
      </c>
      <c r="K125" s="8">
        <v>746.60818181818206</v>
      </c>
      <c r="L125" s="8">
        <v>301.53000000000009</v>
      </c>
      <c r="M125" s="8">
        <v>39.24</v>
      </c>
      <c r="N125" s="8">
        <v>20.65</v>
      </c>
      <c r="O125" s="8">
        <f>20.65+20.65</f>
        <v>41.3</v>
      </c>
      <c r="P125" s="8">
        <v>0</v>
      </c>
      <c r="Q125" s="8">
        <f>20.65+20.65</f>
        <v>41.3</v>
      </c>
      <c r="R125" s="8">
        <v>22.72</v>
      </c>
      <c r="S125" s="8">
        <v>22.72</v>
      </c>
      <c r="T125" s="8">
        <v>22.72</v>
      </c>
      <c r="U125" s="8">
        <v>22.72</v>
      </c>
      <c r="V125" s="8">
        <v>22.72</v>
      </c>
      <c r="W125" s="8">
        <v>22.72</v>
      </c>
      <c r="X125" s="8">
        <v>22.72</v>
      </c>
    </row>
    <row r="126" spans="1:24" ht="45" x14ac:dyDescent="0.25">
      <c r="A126" s="5" t="s">
        <v>176</v>
      </c>
      <c r="B126" s="13" t="s">
        <v>151</v>
      </c>
      <c r="C126" s="13" t="s">
        <v>152</v>
      </c>
      <c r="D126" s="11">
        <v>1</v>
      </c>
      <c r="E126" s="11">
        <v>1</v>
      </c>
      <c r="F126" s="11">
        <v>1700</v>
      </c>
      <c r="G126" s="5" t="str">
        <f t="shared" si="1"/>
        <v>51</v>
      </c>
      <c r="H126" s="5" t="s">
        <v>177</v>
      </c>
      <c r="I126" s="6" t="str">
        <f>+IFERROR(VLOOKUP(H126,[1]CATALOGO!$B$2:$C$98,2,0),"")</f>
        <v>Horas Extraordinarias y Suplementarias</v>
      </c>
      <c r="J126" s="11">
        <v>2</v>
      </c>
      <c r="K126" s="8">
        <v>9600</v>
      </c>
      <c r="L126" s="8">
        <v>6647.22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f>1513.08-1388.45</f>
        <v>124.62999999999988</v>
      </c>
      <c r="T126" s="8">
        <v>0</v>
      </c>
      <c r="U126" s="8">
        <f>1969.87+221.67</f>
        <v>2191.54</v>
      </c>
      <c r="V126" s="8">
        <v>436.34</v>
      </c>
      <c r="W126" s="8">
        <f>629.42+708.96+806.69-6</f>
        <v>2139.0700000000002</v>
      </c>
      <c r="X126" s="8">
        <f>2.42+1753.22</f>
        <v>1755.64</v>
      </c>
    </row>
    <row r="127" spans="1:24" ht="45" x14ac:dyDescent="0.25">
      <c r="A127" s="5" t="s">
        <v>178</v>
      </c>
      <c r="B127" s="13" t="s">
        <v>151</v>
      </c>
      <c r="C127" s="13" t="s">
        <v>152</v>
      </c>
      <c r="D127" s="11">
        <v>55</v>
      </c>
      <c r="E127" s="11">
        <v>1</v>
      </c>
      <c r="F127" s="11">
        <v>1700</v>
      </c>
      <c r="G127" s="5" t="str">
        <f t="shared" si="1"/>
        <v>51</v>
      </c>
      <c r="H127" s="5" t="s">
        <v>177</v>
      </c>
      <c r="I127" s="6" t="str">
        <f>+IFERROR(VLOOKUP(H127,[1]CATALOGO!$B$2:$C$98,2,0),"")</f>
        <v>Horas Extraordinarias y Suplementarias</v>
      </c>
      <c r="J127" s="11">
        <v>2</v>
      </c>
      <c r="K127" s="8">
        <v>14427.658181818182</v>
      </c>
      <c r="L127" s="8">
        <v>7180.92</v>
      </c>
      <c r="M127" s="8">
        <v>0</v>
      </c>
      <c r="N127" s="8">
        <v>631.96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f>1142.13+1517.43</f>
        <v>2659.5600000000004</v>
      </c>
      <c r="V127" s="8">
        <f>831.97-2.65</f>
        <v>829.32</v>
      </c>
      <c r="W127" s="8">
        <v>1601.0699999999997</v>
      </c>
      <c r="X127" s="8">
        <f>2566.63-1107.62</f>
        <v>1459.0100000000002</v>
      </c>
    </row>
    <row r="128" spans="1:24" ht="45" x14ac:dyDescent="0.25">
      <c r="A128" s="5" t="s">
        <v>179</v>
      </c>
      <c r="B128" s="13" t="s">
        <v>151</v>
      </c>
      <c r="C128" s="13" t="s">
        <v>152</v>
      </c>
      <c r="D128" s="11">
        <v>1</v>
      </c>
      <c r="E128" s="11">
        <v>1</v>
      </c>
      <c r="F128" s="11">
        <v>1700</v>
      </c>
      <c r="G128" s="5" t="str">
        <f t="shared" si="1"/>
        <v>51</v>
      </c>
      <c r="H128" s="5" t="s">
        <v>180</v>
      </c>
      <c r="I128" s="6" t="str">
        <f>+IFERROR(VLOOKUP(H128,[1]CATALOGO!$B$2:$C$98,2,0),"")</f>
        <v>Servicios Personales por Contrato</v>
      </c>
      <c r="J128" s="11">
        <v>2</v>
      </c>
      <c r="K128" s="8">
        <v>122425.70181818181</v>
      </c>
      <c r="L128" s="8">
        <v>194201</v>
      </c>
      <c r="M128" s="8">
        <v>733</v>
      </c>
      <c r="N128" s="8">
        <v>1559</v>
      </c>
      <c r="O128" s="8">
        <v>4354</v>
      </c>
      <c r="P128" s="8">
        <f>4085+14948</f>
        <v>19033</v>
      </c>
      <c r="Q128" s="8">
        <v>16624</v>
      </c>
      <c r="R128" s="8">
        <f>1676+18300</f>
        <v>19976</v>
      </c>
      <c r="S128" s="8">
        <v>20329</v>
      </c>
      <c r="T128" s="8">
        <v>19596</v>
      </c>
      <c r="U128" s="8">
        <v>19596</v>
      </c>
      <c r="V128" s="8">
        <v>20413</v>
      </c>
      <c r="W128" s="8">
        <v>25994</v>
      </c>
      <c r="X128" s="8">
        <v>25994</v>
      </c>
    </row>
    <row r="129" spans="1:24" ht="45" x14ac:dyDescent="0.25">
      <c r="A129" s="5" t="s">
        <v>181</v>
      </c>
      <c r="B129" s="13" t="s">
        <v>151</v>
      </c>
      <c r="C129" s="13" t="s">
        <v>152</v>
      </c>
      <c r="D129" s="11">
        <v>55</v>
      </c>
      <c r="E129" s="11">
        <v>1</v>
      </c>
      <c r="F129" s="11">
        <v>1700</v>
      </c>
      <c r="G129" s="5" t="str">
        <f t="shared" si="1"/>
        <v>51</v>
      </c>
      <c r="H129" s="5" t="s">
        <v>180</v>
      </c>
      <c r="I129" s="6" t="str">
        <f>+IFERROR(VLOOKUP(H129,[1]CATALOGO!$B$2:$C$98,2,0),"")</f>
        <v>Servicios Personales por Contrato</v>
      </c>
      <c r="J129" s="11">
        <v>2</v>
      </c>
      <c r="K129" s="8">
        <v>314604</v>
      </c>
      <c r="L129" s="8">
        <v>486548.13</v>
      </c>
      <c r="M129" s="8">
        <v>17966.8</v>
      </c>
      <c r="N129" s="8">
        <v>19740</v>
      </c>
      <c r="O129" s="8">
        <v>25980</v>
      </c>
      <c r="P129" s="8">
        <f>9592+43772</f>
        <v>53364</v>
      </c>
      <c r="Q129" s="8">
        <v>43771.999999999985</v>
      </c>
      <c r="R129" s="8">
        <f>4100+46196</f>
        <v>50296</v>
      </c>
      <c r="S129" s="8">
        <f>322.4+41360+1128.4</f>
        <v>42810.8</v>
      </c>
      <c r="T129" s="8">
        <f>1289.60000000003+38008</f>
        <v>39297.600000000028</v>
      </c>
      <c r="U129" s="8">
        <f>38572.2+769.33</f>
        <v>39341.53</v>
      </c>
      <c r="V129" s="8">
        <v>42763.4</v>
      </c>
      <c r="W129" s="8">
        <v>55608</v>
      </c>
      <c r="X129" s="8">
        <v>55608</v>
      </c>
    </row>
    <row r="130" spans="1:24" ht="45" x14ac:dyDescent="0.25">
      <c r="A130" s="5" t="s">
        <v>182</v>
      </c>
      <c r="B130" s="13" t="s">
        <v>151</v>
      </c>
      <c r="C130" s="13" t="s">
        <v>152</v>
      </c>
      <c r="D130" s="11">
        <v>1</v>
      </c>
      <c r="E130" s="11">
        <v>1</v>
      </c>
      <c r="F130" s="11">
        <v>1700</v>
      </c>
      <c r="G130" s="5" t="str">
        <f t="shared" si="1"/>
        <v>51</v>
      </c>
      <c r="H130" s="5" t="s">
        <v>183</v>
      </c>
      <c r="I130" s="6" t="str">
        <f>+IFERROR(VLOOKUP(H130,[1]CATALOGO!$B$2:$C$98,2,0),"")</f>
        <v>Subrogacion</v>
      </c>
      <c r="J130" s="11">
        <v>2</v>
      </c>
      <c r="K130" s="8">
        <v>9592</v>
      </c>
      <c r="L130" s="8">
        <v>1957.45</v>
      </c>
      <c r="M130" s="8">
        <v>0</v>
      </c>
      <c r="N130" s="8">
        <v>568.70000000000005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f>253.73+692</f>
        <v>945.73</v>
      </c>
      <c r="U130" s="8">
        <v>0</v>
      </c>
      <c r="V130" s="8">
        <v>443.02</v>
      </c>
      <c r="W130" s="8">
        <v>0</v>
      </c>
      <c r="X130" s="8">
        <v>0</v>
      </c>
    </row>
    <row r="131" spans="1:24" ht="45" x14ac:dyDescent="0.25">
      <c r="A131" s="5" t="s">
        <v>184</v>
      </c>
      <c r="B131" s="13" t="s">
        <v>151</v>
      </c>
      <c r="C131" s="13" t="s">
        <v>152</v>
      </c>
      <c r="D131" s="11">
        <v>55</v>
      </c>
      <c r="E131" s="11">
        <v>1</v>
      </c>
      <c r="F131" s="11">
        <v>1700</v>
      </c>
      <c r="G131" s="5" t="str">
        <f t="shared" si="1"/>
        <v>51</v>
      </c>
      <c r="H131" s="5" t="s">
        <v>183</v>
      </c>
      <c r="I131" s="6" t="str">
        <f>+IFERROR(VLOOKUP(H131,[1]CATALOGO!$B$2:$C$98,2,0),"")</f>
        <v>Subrogacion</v>
      </c>
      <c r="J131" s="11">
        <v>2</v>
      </c>
      <c r="K131" s="8">
        <v>96167</v>
      </c>
      <c r="L131" s="8">
        <v>5015.4400000000005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434.5</v>
      </c>
      <c r="S131" s="8">
        <v>0</v>
      </c>
      <c r="T131" s="8">
        <v>346.27</v>
      </c>
      <c r="U131" s="8">
        <v>1266.67</v>
      </c>
      <c r="V131" s="8">
        <v>742</v>
      </c>
      <c r="W131" s="8">
        <v>742</v>
      </c>
      <c r="X131" s="8">
        <f>742+742</f>
        <v>1484</v>
      </c>
    </row>
    <row r="132" spans="1:24" ht="45" x14ac:dyDescent="0.25">
      <c r="A132" s="5" t="s">
        <v>185</v>
      </c>
      <c r="B132" s="13" t="s">
        <v>151</v>
      </c>
      <c r="C132" s="13" t="s">
        <v>152</v>
      </c>
      <c r="D132" s="11">
        <v>1</v>
      </c>
      <c r="E132" s="11">
        <v>1</v>
      </c>
      <c r="F132" s="11">
        <v>1700</v>
      </c>
      <c r="G132" s="5" t="str">
        <f t="shared" si="1"/>
        <v>51</v>
      </c>
      <c r="H132" s="5" t="s">
        <v>186</v>
      </c>
      <c r="I132" s="6" t="str">
        <f>+IFERROR(VLOOKUP(H132,[1]CATALOGO!$B$2:$C$98,2,0),"")</f>
        <v>Encargos</v>
      </c>
      <c r="J132" s="11">
        <v>2</v>
      </c>
      <c r="K132" s="8">
        <v>207435</v>
      </c>
      <c r="L132" s="8">
        <v>4317.67</v>
      </c>
      <c r="M132" s="8">
        <v>0</v>
      </c>
      <c r="N132" s="8">
        <v>622.79999999999995</v>
      </c>
      <c r="O132" s="8">
        <v>0</v>
      </c>
      <c r="P132" s="8">
        <v>0</v>
      </c>
      <c r="Q132" s="8">
        <v>0</v>
      </c>
      <c r="R132" s="8">
        <v>0</v>
      </c>
      <c r="S132" s="8">
        <v>599.73</v>
      </c>
      <c r="T132" s="8">
        <v>0</v>
      </c>
      <c r="U132" s="8">
        <v>0</v>
      </c>
      <c r="V132" s="8">
        <v>369.06999999999994</v>
      </c>
      <c r="W132" s="8">
        <v>1342.0700000000002</v>
      </c>
      <c r="X132" s="8">
        <f>692+692</f>
        <v>1384</v>
      </c>
    </row>
    <row r="133" spans="1:24" ht="45" x14ac:dyDescent="0.25">
      <c r="A133" s="5" t="s">
        <v>187</v>
      </c>
      <c r="B133" s="13" t="s">
        <v>151</v>
      </c>
      <c r="C133" s="13" t="s">
        <v>152</v>
      </c>
      <c r="D133" s="11">
        <v>55</v>
      </c>
      <c r="E133" s="11">
        <v>1</v>
      </c>
      <c r="F133" s="11">
        <v>1700</v>
      </c>
      <c r="G133" s="5" t="str">
        <f t="shared" si="1"/>
        <v>51</v>
      </c>
      <c r="H133" s="5">
        <v>510513</v>
      </c>
      <c r="I133" s="6" t="str">
        <f>+IFERROR(VLOOKUP(H133,[1]CATALOGO!$B$2:$C$98,2,0),"")</f>
        <v/>
      </c>
      <c r="J133" s="11">
        <v>2</v>
      </c>
      <c r="K133" s="8">
        <v>53160</v>
      </c>
      <c r="L133" s="8">
        <v>31163.809999999998</v>
      </c>
      <c r="M133" s="8">
        <v>5897.51</v>
      </c>
      <c r="N133" s="8">
        <v>6370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f>1678.5+645.07</f>
        <v>2323.5700000000002</v>
      </c>
      <c r="U133" s="8">
        <v>4460.2</v>
      </c>
      <c r="V133" s="8">
        <v>4508</v>
      </c>
      <c r="W133" s="8">
        <v>2304</v>
      </c>
      <c r="X133" s="8">
        <f>2304+2996.53</f>
        <v>5300.5300000000007</v>
      </c>
    </row>
    <row r="134" spans="1:24" ht="45" x14ac:dyDescent="0.25">
      <c r="A134" s="5" t="s">
        <v>188</v>
      </c>
      <c r="B134" s="13" t="s">
        <v>151</v>
      </c>
      <c r="C134" s="13" t="s">
        <v>152</v>
      </c>
      <c r="D134" s="11">
        <v>1</v>
      </c>
      <c r="E134" s="11">
        <v>1</v>
      </c>
      <c r="F134" s="11">
        <v>1700</v>
      </c>
      <c r="G134" s="5" t="str">
        <f t="shared" si="1"/>
        <v>51</v>
      </c>
      <c r="H134" s="5" t="s">
        <v>189</v>
      </c>
      <c r="I134" s="6" t="str">
        <f>+IFERROR(VLOOKUP(H134,[1]CATALOGO!$B$2:$C$98,2,0),"")</f>
        <v>Aporte Patronal</v>
      </c>
      <c r="J134" s="11">
        <v>2</v>
      </c>
      <c r="K134" s="8">
        <v>130462.01000000007</v>
      </c>
      <c r="L134" s="8">
        <v>138380.57999999999</v>
      </c>
      <c r="M134" s="8">
        <v>9381.57</v>
      </c>
      <c r="N134" s="8">
        <f>46.18+114.98+9879.61</f>
        <v>10040.77</v>
      </c>
      <c r="O134" s="8">
        <f>10486.07+8.9</f>
        <v>10494.97</v>
      </c>
      <c r="P134" s="8">
        <f>394.200000000001+24.42+11589.98</f>
        <v>12008.6</v>
      </c>
      <c r="Q134" s="8">
        <v>11840.98</v>
      </c>
      <c r="R134" s="8">
        <f>219.61+11974.49</f>
        <v>12194.1</v>
      </c>
      <c r="S134" s="8">
        <f>183.84-168.7+11852</f>
        <v>11867.14</v>
      </c>
      <c r="T134" s="8">
        <f>4.83+23.2+24.49+11747.56</f>
        <v>11800.08</v>
      </c>
      <c r="U134" s="8">
        <f>342.809999999998+11659.39</f>
        <v>12002.199999999997</v>
      </c>
      <c r="V134" s="8">
        <f>78.3799999999901+11560.23</f>
        <v>11638.60999999999</v>
      </c>
      <c r="W134" s="8">
        <f>77.78+205.99+30.47+154.68+12244.66</f>
        <v>12713.58</v>
      </c>
      <c r="X134" s="8">
        <f>66.78+0.29+12330.91</f>
        <v>12397.98</v>
      </c>
    </row>
    <row r="135" spans="1:24" ht="45" x14ac:dyDescent="0.25">
      <c r="A135" s="5" t="s">
        <v>190</v>
      </c>
      <c r="B135" s="13" t="s">
        <v>151</v>
      </c>
      <c r="C135" s="13" t="s">
        <v>152</v>
      </c>
      <c r="D135" s="11">
        <v>55</v>
      </c>
      <c r="E135" s="11">
        <v>1</v>
      </c>
      <c r="F135" s="11">
        <v>1700</v>
      </c>
      <c r="G135" s="5" t="str">
        <f t="shared" si="1"/>
        <v>51</v>
      </c>
      <c r="H135" s="5" t="s">
        <v>189</v>
      </c>
      <c r="I135" s="6" t="str">
        <f>+IFERROR(VLOOKUP(H135,[1]CATALOGO!$B$2:$C$98,2,0),"")</f>
        <v>Aporte Patronal</v>
      </c>
      <c r="J135" s="11">
        <v>2</v>
      </c>
      <c r="K135" s="8">
        <v>197662.73632000014</v>
      </c>
      <c r="L135" s="8">
        <v>191662.49999999997</v>
      </c>
      <c r="M135" s="8">
        <v>14678.96</v>
      </c>
      <c r="N135" s="8">
        <f>97.05+614.7+14726.14</f>
        <v>15437.89</v>
      </c>
      <c r="O135" s="8">
        <v>15349.080000000002</v>
      </c>
      <c r="P135" s="8">
        <f>925.610000000001+17322.2</f>
        <v>18247.810000000001</v>
      </c>
      <c r="Q135" s="8">
        <v>17282.89</v>
      </c>
      <c r="R135" s="8">
        <f>395.65+41.93+17447.22</f>
        <v>17884.800000000003</v>
      </c>
      <c r="S135" s="8">
        <f>127.99+15103.66</f>
        <v>15231.65</v>
      </c>
      <c r="T135" s="8">
        <f>108.89+1111.53999999999+161.97+13856.89</f>
        <v>15239.28999999999</v>
      </c>
      <c r="U135" s="8">
        <f>566.700000000012+13876.31</f>
        <v>14443.010000000011</v>
      </c>
      <c r="V135" s="8">
        <f>521.829999999987+14894.43</f>
        <v>15416.259999999987</v>
      </c>
      <c r="W135" s="8">
        <f>293.93+16217.6</f>
        <v>16511.53</v>
      </c>
      <c r="X135" s="8">
        <f>286.48+8.41+15644.44</f>
        <v>15939.33</v>
      </c>
    </row>
    <row r="136" spans="1:24" ht="45" x14ac:dyDescent="0.25">
      <c r="A136" s="5" t="s">
        <v>191</v>
      </c>
      <c r="B136" s="13" t="s">
        <v>151</v>
      </c>
      <c r="C136" s="13" t="s">
        <v>152</v>
      </c>
      <c r="D136" s="11">
        <v>1</v>
      </c>
      <c r="E136" s="11">
        <v>1</v>
      </c>
      <c r="F136" s="11">
        <v>1700</v>
      </c>
      <c r="G136" s="5" t="str">
        <f t="shared" si="1"/>
        <v>51</v>
      </c>
      <c r="H136" s="5" t="s">
        <v>192</v>
      </c>
      <c r="I136" s="6" t="str">
        <f>+IFERROR(VLOOKUP(H136,[1]CATALOGO!$B$2:$C$98,2,0),"")</f>
        <v>Fondo de Reserva</v>
      </c>
      <c r="J136" s="11">
        <v>2</v>
      </c>
      <c r="K136" s="8">
        <v>93962.282399999996</v>
      </c>
      <c r="L136" s="8">
        <v>88703.2</v>
      </c>
      <c r="M136" s="8">
        <v>0</v>
      </c>
      <c r="N136" s="8">
        <f>6894.15-0.03+99.24+100.96</f>
        <v>7094.32</v>
      </c>
      <c r="O136" s="8">
        <v>6984.27</v>
      </c>
      <c r="P136" s="8">
        <v>7131.5999999999985</v>
      </c>
      <c r="Q136" s="8">
        <f>7349.93+698.49</f>
        <v>8048.42</v>
      </c>
      <c r="R136" s="8">
        <f>189.57+7492.38</f>
        <v>7681.95</v>
      </c>
      <c r="S136" s="8">
        <v>7573.65</v>
      </c>
      <c r="T136" s="8">
        <f>20.04+7377.86+23.06</f>
        <v>7420.96</v>
      </c>
      <c r="U136" s="8">
        <v>7419.6300000000047</v>
      </c>
      <c r="V136" s="8">
        <v>7588.3799999999901</v>
      </c>
      <c r="W136" s="8">
        <v>7482.5500000000029</v>
      </c>
      <c r="X136" s="8">
        <f>7095.95+85.57+7095.95</f>
        <v>14277.47</v>
      </c>
    </row>
    <row r="137" spans="1:24" ht="45" x14ac:dyDescent="0.25">
      <c r="A137" s="5" t="s">
        <v>193</v>
      </c>
      <c r="B137" s="13" t="s">
        <v>151</v>
      </c>
      <c r="C137" s="13" t="s">
        <v>152</v>
      </c>
      <c r="D137" s="11">
        <v>55</v>
      </c>
      <c r="E137" s="11">
        <v>1</v>
      </c>
      <c r="F137" s="11">
        <v>1700</v>
      </c>
      <c r="G137" s="5" t="str">
        <f t="shared" ref="G137:G197" si="2">LEFT(H137,2)</f>
        <v>51</v>
      </c>
      <c r="H137" s="5" t="s">
        <v>192</v>
      </c>
      <c r="I137" s="6" t="str">
        <f>+IFERROR(VLOOKUP(H137,[1]CATALOGO!$B$2:$C$98,2,0),"")</f>
        <v>Fondo de Reserva</v>
      </c>
      <c r="J137" s="11">
        <v>2</v>
      </c>
      <c r="K137" s="8">
        <v>182749.34798399973</v>
      </c>
      <c r="L137" s="8">
        <v>123183.93</v>
      </c>
      <c r="M137" s="8">
        <v>491.46</v>
      </c>
      <c r="N137" s="8">
        <f>139.61+9794.89+530.63</f>
        <v>10465.129999999999</v>
      </c>
      <c r="O137" s="8">
        <f>10345.36+68.61+0.2</f>
        <v>10414.170000000002</v>
      </c>
      <c r="P137" s="8">
        <f>10724.44+25.82</f>
        <v>10750.26</v>
      </c>
      <c r="Q137" s="8">
        <f>11128.49+5.73</f>
        <v>11134.22</v>
      </c>
      <c r="R137" s="8">
        <f>11521.24+25.89</f>
        <v>11547.13</v>
      </c>
      <c r="S137" s="8">
        <f>11300.87+110.49+61.84</f>
        <v>11473.2</v>
      </c>
      <c r="T137" s="8">
        <f>791.62+9417.47+434.2</f>
        <v>10643.29</v>
      </c>
      <c r="U137" s="8">
        <f>8673.18999999999+30.29+0.02</f>
        <v>8703.4999999999909</v>
      </c>
      <c r="V137" s="8">
        <v>8969.1900000000023</v>
      </c>
      <c r="W137" s="8">
        <f>8997.17+10.1+0.02</f>
        <v>9007.2900000000009</v>
      </c>
      <c r="X137" s="8">
        <f>9812.65+218.63+9553.81</f>
        <v>19585.089999999997</v>
      </c>
    </row>
    <row r="138" spans="1:24" ht="45" x14ac:dyDescent="0.25">
      <c r="A138" s="5" t="s">
        <v>194</v>
      </c>
      <c r="B138" s="13" t="s">
        <v>151</v>
      </c>
      <c r="C138" s="13" t="s">
        <v>152</v>
      </c>
      <c r="D138" s="11">
        <v>1</v>
      </c>
      <c r="E138" s="11">
        <v>1</v>
      </c>
      <c r="F138" s="11">
        <v>1700</v>
      </c>
      <c r="G138" s="5" t="str">
        <f t="shared" si="2"/>
        <v>51</v>
      </c>
      <c r="H138" s="5" t="s">
        <v>195</v>
      </c>
      <c r="I138" s="6" t="str">
        <f>+IFERROR(VLOOKUP(H138,[1]CATALOGO!$B$2:$C$98,2,0),"")</f>
        <v>Compensacion por Desahucio</v>
      </c>
      <c r="J138" s="11">
        <v>2</v>
      </c>
      <c r="K138" s="8">
        <v>-3242.1963200001337</v>
      </c>
      <c r="L138" s="8">
        <v>1262.25</v>
      </c>
      <c r="M138" s="8">
        <v>0</v>
      </c>
      <c r="N138" s="8">
        <v>1262.25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</row>
    <row r="139" spans="1:24" ht="45" x14ac:dyDescent="0.25">
      <c r="A139" s="5" t="s">
        <v>196</v>
      </c>
      <c r="B139" s="13" t="s">
        <v>151</v>
      </c>
      <c r="C139" s="13" t="s">
        <v>152</v>
      </c>
      <c r="D139" s="12">
        <v>55</v>
      </c>
      <c r="E139" s="11">
        <v>1</v>
      </c>
      <c r="F139" s="11">
        <v>1700</v>
      </c>
      <c r="G139" s="5" t="str">
        <f t="shared" si="2"/>
        <v>51</v>
      </c>
      <c r="H139" s="5" t="s">
        <v>195</v>
      </c>
      <c r="I139" s="6" t="str">
        <f>+IFERROR(VLOOKUP(H139,[1]CATALOGO!$B$2:$C$98,2,0),"")</f>
        <v>Compensacion por Desahucio</v>
      </c>
      <c r="J139" s="11">
        <v>2</v>
      </c>
      <c r="K139" s="8">
        <v>-26684.632400000002</v>
      </c>
      <c r="L139" s="8">
        <v>2065</v>
      </c>
      <c r="M139" s="8">
        <v>0</v>
      </c>
      <c r="N139" s="8">
        <v>0</v>
      </c>
      <c r="O139" s="8">
        <v>2065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</row>
    <row r="140" spans="1:24" ht="56.25" x14ac:dyDescent="0.25">
      <c r="A140" s="5" t="s">
        <v>197</v>
      </c>
      <c r="B140" s="13" t="s">
        <v>151</v>
      </c>
      <c r="C140" s="13" t="s">
        <v>152</v>
      </c>
      <c r="D140" s="11">
        <v>1</v>
      </c>
      <c r="E140" s="11">
        <v>1</v>
      </c>
      <c r="F140" s="11">
        <v>1700</v>
      </c>
      <c r="G140" s="5" t="str">
        <f t="shared" si="2"/>
        <v>51</v>
      </c>
      <c r="H140" s="5" t="s">
        <v>198</v>
      </c>
      <c r="I140" s="6" t="str">
        <f>+IFERROR(VLOOKUP(H140,[1]CATALOGO!$B$2:$C$98,2,0),"")</f>
        <v xml:space="preserve">Compensacion por Vacaciones no Gozadas por Cesacion de Funciones </v>
      </c>
      <c r="J140" s="11">
        <v>2</v>
      </c>
      <c r="K140" s="8">
        <v>-16913.06798399979</v>
      </c>
      <c r="L140" s="8">
        <v>12224.160000000002</v>
      </c>
      <c r="M140" s="8">
        <v>0</v>
      </c>
      <c r="N140" s="8">
        <v>2063.23</v>
      </c>
      <c r="O140" s="8">
        <f>272.32</f>
        <v>272.32</v>
      </c>
      <c r="P140" s="8">
        <v>0</v>
      </c>
      <c r="Q140" s="8">
        <v>1142.95</v>
      </c>
      <c r="R140" s="8">
        <v>0</v>
      </c>
      <c r="S140" s="8">
        <v>0</v>
      </c>
      <c r="T140" s="8">
        <v>0</v>
      </c>
      <c r="U140" s="8">
        <f>1398.44+229.43</f>
        <v>1627.8700000000001</v>
      </c>
      <c r="V140" s="8">
        <v>878.53</v>
      </c>
      <c r="W140" s="8">
        <f>229.18+4549.97-1784.58</f>
        <v>2994.5700000000006</v>
      </c>
      <c r="X140" s="8">
        <f>2517.31+727.38</f>
        <v>3244.69</v>
      </c>
    </row>
    <row r="141" spans="1:24" ht="56.25" x14ac:dyDescent="0.25">
      <c r="A141" s="5" t="s">
        <v>199</v>
      </c>
      <c r="B141" s="13" t="s">
        <v>151</v>
      </c>
      <c r="C141" s="13" t="s">
        <v>152</v>
      </c>
      <c r="D141" s="11">
        <v>55</v>
      </c>
      <c r="E141" s="11">
        <v>1</v>
      </c>
      <c r="F141" s="11">
        <v>1700</v>
      </c>
      <c r="G141" s="5" t="str">
        <f t="shared" si="2"/>
        <v>51</v>
      </c>
      <c r="H141" s="5" t="s">
        <v>198</v>
      </c>
      <c r="I141" s="6" t="str">
        <f>+IFERROR(VLOOKUP(H141,[1]CATALOGO!$B$2:$C$98,2,0),"")</f>
        <v xml:space="preserve">Compensacion por Vacaciones no Gozadas por Cesacion de Funciones </v>
      </c>
      <c r="J141" s="11">
        <v>2</v>
      </c>
      <c r="K141" s="8">
        <v>24541</v>
      </c>
      <c r="L141" s="8">
        <v>32646.729999999996</v>
      </c>
      <c r="M141" s="8">
        <v>0</v>
      </c>
      <c r="N141" s="8">
        <v>0</v>
      </c>
      <c r="O141" s="8">
        <f>1135.47+144.23</f>
        <v>1279.7</v>
      </c>
      <c r="P141" s="8">
        <v>0</v>
      </c>
      <c r="Q141" s="8">
        <v>0</v>
      </c>
      <c r="R141" s="8">
        <v>300.94</v>
      </c>
      <c r="S141" s="8">
        <v>0</v>
      </c>
      <c r="T141" s="8">
        <v>0</v>
      </c>
      <c r="U141" s="8">
        <f>7742.87+3146.84</f>
        <v>10889.71</v>
      </c>
      <c r="V141" s="8">
        <v>0</v>
      </c>
      <c r="W141" s="8">
        <f>9342.41+7660.28</f>
        <v>17002.689999999999</v>
      </c>
      <c r="X141" s="8">
        <f>2299.43+874.26</f>
        <v>3173.6899999999996</v>
      </c>
    </row>
    <row r="142" spans="1:24" ht="45" x14ac:dyDescent="0.25">
      <c r="A142" s="5" t="s">
        <v>200</v>
      </c>
      <c r="B142" s="13" t="s">
        <v>151</v>
      </c>
      <c r="C142" s="13" t="s">
        <v>152</v>
      </c>
      <c r="D142" s="11">
        <v>1</v>
      </c>
      <c r="E142" s="11">
        <v>1</v>
      </c>
      <c r="F142" s="12">
        <v>1701</v>
      </c>
      <c r="G142" s="5" t="str">
        <f t="shared" si="2"/>
        <v>53</v>
      </c>
      <c r="H142" s="5">
        <v>530201</v>
      </c>
      <c r="I142" s="6" t="str">
        <f>+IFERROR(VLOOKUP(H142,[1]CATALOGO!$B$2:$C$98,2,0),"")</f>
        <v>Transporte de Personal</v>
      </c>
      <c r="J142" s="11">
        <v>2</v>
      </c>
      <c r="K142" s="8">
        <v>141625</v>
      </c>
      <c r="L142" s="8">
        <v>132300</v>
      </c>
      <c r="M142" s="8">
        <v>0</v>
      </c>
      <c r="N142" s="8">
        <v>0</v>
      </c>
      <c r="O142" s="8">
        <v>0</v>
      </c>
      <c r="P142" s="8">
        <v>0</v>
      </c>
      <c r="Q142" s="8">
        <f>13230+13230</f>
        <v>26460</v>
      </c>
      <c r="R142" s="8">
        <v>0</v>
      </c>
      <c r="S142" s="8">
        <v>13230</v>
      </c>
      <c r="T142" s="8">
        <v>13230</v>
      </c>
      <c r="U142" s="8">
        <v>13230</v>
      </c>
      <c r="V142" s="8">
        <v>13230</v>
      </c>
      <c r="W142" s="8">
        <v>26460</v>
      </c>
      <c r="X142" s="8">
        <v>26460</v>
      </c>
    </row>
    <row r="143" spans="1:24" ht="45" x14ac:dyDescent="0.25">
      <c r="A143" s="5" t="s">
        <v>201</v>
      </c>
      <c r="B143" s="13" t="s">
        <v>151</v>
      </c>
      <c r="C143" s="13" t="s">
        <v>152</v>
      </c>
      <c r="D143" s="11">
        <v>1</v>
      </c>
      <c r="E143" s="11">
        <v>1</v>
      </c>
      <c r="F143" s="12">
        <v>1701</v>
      </c>
      <c r="G143" s="5" t="str">
        <f t="shared" si="2"/>
        <v>53</v>
      </c>
      <c r="H143" s="5">
        <v>530210</v>
      </c>
      <c r="I143" s="6" t="str">
        <f>+IFERROR(VLOOKUP(H143,[1]CATALOGO!$B$2:$C$98,2,0),"")</f>
        <v>Servicio de Guardería</v>
      </c>
      <c r="J143" s="11">
        <v>1</v>
      </c>
      <c r="K143" s="8">
        <v>368</v>
      </c>
      <c r="L143" s="9">
        <v>0</v>
      </c>
      <c r="M143" s="9">
        <v>0</v>
      </c>
      <c r="N143" s="9">
        <v>0</v>
      </c>
      <c r="O143" s="9">
        <v>0</v>
      </c>
      <c r="P143" s="9">
        <v>0</v>
      </c>
      <c r="Q143" s="9">
        <v>0</v>
      </c>
      <c r="R143" s="9">
        <v>0</v>
      </c>
      <c r="S143" s="9">
        <v>0</v>
      </c>
      <c r="T143" s="9">
        <v>0</v>
      </c>
      <c r="U143" s="9">
        <v>0</v>
      </c>
      <c r="V143" s="9">
        <v>0</v>
      </c>
      <c r="W143" s="9">
        <v>0</v>
      </c>
      <c r="X143" s="9">
        <v>0</v>
      </c>
    </row>
    <row r="144" spans="1:24" ht="45" x14ac:dyDescent="0.25">
      <c r="A144" s="5" t="s">
        <v>202</v>
      </c>
      <c r="B144" s="13" t="s">
        <v>151</v>
      </c>
      <c r="C144" s="13" t="s">
        <v>152</v>
      </c>
      <c r="D144" s="12">
        <v>55</v>
      </c>
      <c r="E144" s="5">
        <v>1</v>
      </c>
      <c r="F144" s="5">
        <v>1701</v>
      </c>
      <c r="G144" s="5" t="str">
        <f t="shared" si="2"/>
        <v>53</v>
      </c>
      <c r="H144" s="5">
        <v>530210</v>
      </c>
      <c r="I144" s="6" t="str">
        <f>+IFERROR(VLOOKUP(H144,[1]CATALOGO!$B$2:$C$98,2,0),"")</f>
        <v>Servicio de Guardería</v>
      </c>
      <c r="J144" s="11">
        <v>1</v>
      </c>
      <c r="K144" s="8">
        <v>15960</v>
      </c>
      <c r="L144" s="9">
        <v>0</v>
      </c>
      <c r="M144" s="9">
        <v>0</v>
      </c>
      <c r="N144" s="9">
        <v>0</v>
      </c>
      <c r="O144" s="9">
        <v>0</v>
      </c>
      <c r="P144" s="9">
        <v>0</v>
      </c>
      <c r="Q144" s="9">
        <v>0</v>
      </c>
      <c r="R144" s="9">
        <v>0</v>
      </c>
      <c r="S144" s="9">
        <v>0</v>
      </c>
      <c r="T144" s="9">
        <v>0</v>
      </c>
      <c r="U144" s="9">
        <v>0</v>
      </c>
      <c r="V144" s="9">
        <v>0</v>
      </c>
      <c r="W144" s="9">
        <v>0</v>
      </c>
      <c r="X144" s="9">
        <v>0</v>
      </c>
    </row>
    <row r="145" spans="1:24" ht="112.5" x14ac:dyDescent="0.25">
      <c r="A145" s="5" t="s">
        <v>203</v>
      </c>
      <c r="B145" s="13" t="s">
        <v>151</v>
      </c>
      <c r="C145" s="13" t="s">
        <v>152</v>
      </c>
      <c r="D145" s="11">
        <v>1</v>
      </c>
      <c r="E145" s="11">
        <v>1</v>
      </c>
      <c r="F145" s="12">
        <v>1701</v>
      </c>
      <c r="G145" s="5" t="str">
        <f t="shared" si="2"/>
        <v>53</v>
      </c>
      <c r="H145" s="5">
        <v>530802</v>
      </c>
      <c r="I145" s="6" t="str">
        <f>+IFERROR(VLOOKUP(H145,[1]CATALOGO!$B$2:$C$98,2,0),"")</f>
        <v>Vestuario- Lenceria- Prendas de Proteccion- y- Accesorios para Uniformes del personal de proteccion vigilancia y seguridad</v>
      </c>
      <c r="J145" s="11">
        <v>2</v>
      </c>
      <c r="K145" s="8">
        <v>37000</v>
      </c>
      <c r="L145" s="8">
        <v>12325.56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12325.56</v>
      </c>
      <c r="W145" s="8">
        <v>0</v>
      </c>
      <c r="X145" s="8">
        <v>0</v>
      </c>
    </row>
    <row r="146" spans="1:24" ht="45" x14ac:dyDescent="0.25">
      <c r="A146" s="5" t="s">
        <v>204</v>
      </c>
      <c r="B146" s="13" t="s">
        <v>151</v>
      </c>
      <c r="C146" s="13" t="s">
        <v>152</v>
      </c>
      <c r="D146" s="11">
        <v>1</v>
      </c>
      <c r="E146" s="11">
        <v>1</v>
      </c>
      <c r="F146" s="12">
        <v>1701</v>
      </c>
      <c r="G146" s="5" t="str">
        <f t="shared" si="2"/>
        <v>58</v>
      </c>
      <c r="H146" s="5">
        <v>580209</v>
      </c>
      <c r="I146" s="6" t="str">
        <f>+IFERROR(VLOOKUP(H146,[1]CATALOGO!$B$2:$C$98,2,0),"")</f>
        <v>A Jubilados Patronales</v>
      </c>
      <c r="J146" s="11">
        <v>2</v>
      </c>
      <c r="K146" s="8">
        <v>4611.71</v>
      </c>
      <c r="L146" s="8">
        <v>6863.71</v>
      </c>
      <c r="M146" s="8">
        <v>455.67</v>
      </c>
      <c r="N146" s="8">
        <v>455.67</v>
      </c>
      <c r="O146" s="8">
        <v>455.67</v>
      </c>
      <c r="P146" s="8">
        <v>455.67</v>
      </c>
      <c r="Q146" s="8">
        <v>455.67</v>
      </c>
      <c r="R146" s="8">
        <v>455.67</v>
      </c>
      <c r="S146" s="8">
        <v>455.67</v>
      </c>
      <c r="T146" s="8">
        <v>455.67</v>
      </c>
      <c r="U146" s="8">
        <v>940</v>
      </c>
      <c r="V146" s="8">
        <v>455.67</v>
      </c>
      <c r="W146" s="8">
        <v>1367.0099999999993</v>
      </c>
      <c r="X146" s="8">
        <v>455.67</v>
      </c>
    </row>
    <row r="147" spans="1:24" ht="78.75" x14ac:dyDescent="0.25">
      <c r="A147" s="5" t="s">
        <v>205</v>
      </c>
      <c r="B147" s="5" t="s">
        <v>44</v>
      </c>
      <c r="C147" s="5" t="s">
        <v>45</v>
      </c>
      <c r="D147" s="11">
        <v>55</v>
      </c>
      <c r="E147" s="11">
        <v>1</v>
      </c>
      <c r="F147" s="12">
        <v>1701</v>
      </c>
      <c r="G147" s="5" t="str">
        <f t="shared" si="2"/>
        <v>53</v>
      </c>
      <c r="H147" s="5">
        <v>530701</v>
      </c>
      <c r="I147" s="6" t="str">
        <f>+IFERROR(VLOOKUP(H147,[1]CATALOGO!$B$2:$C$98,2,0),"")</f>
        <v>Desarrollo, Actualización, Asistencia Técnica y Soporte de Sistemas Informáticos</v>
      </c>
      <c r="J147" s="11">
        <v>2</v>
      </c>
      <c r="K147" s="8">
        <v>2736382.2600000002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</row>
    <row r="148" spans="1:24" ht="56.25" x14ac:dyDescent="0.25">
      <c r="A148" s="5" t="s">
        <v>206</v>
      </c>
      <c r="B148" s="13" t="s">
        <v>207</v>
      </c>
      <c r="C148" s="13" t="s">
        <v>208</v>
      </c>
      <c r="D148" s="12">
        <v>55</v>
      </c>
      <c r="E148" s="5">
        <v>1</v>
      </c>
      <c r="F148" s="5">
        <v>1701</v>
      </c>
      <c r="G148" s="5" t="str">
        <f t="shared" si="2"/>
        <v>53</v>
      </c>
      <c r="H148" s="5" t="s">
        <v>122</v>
      </c>
      <c r="I148" s="6" t="str">
        <f>+IFERROR(VLOOKUP(H148,[1]CATALOGO!$B$2:$C$98,2,0),"")</f>
        <v/>
      </c>
      <c r="J148" s="11">
        <v>2</v>
      </c>
      <c r="K148" s="8">
        <v>-12302.739999999998</v>
      </c>
      <c r="L148" s="9">
        <v>0</v>
      </c>
      <c r="M148" s="9">
        <v>0</v>
      </c>
      <c r="N148" s="9">
        <v>0</v>
      </c>
      <c r="O148" s="9">
        <v>0</v>
      </c>
      <c r="P148" s="9">
        <v>0</v>
      </c>
      <c r="Q148" s="9">
        <v>0</v>
      </c>
      <c r="R148" s="9">
        <v>0</v>
      </c>
      <c r="S148" s="9">
        <v>0</v>
      </c>
      <c r="T148" s="9">
        <v>0</v>
      </c>
      <c r="U148" s="9">
        <v>0</v>
      </c>
      <c r="V148" s="9">
        <v>0</v>
      </c>
      <c r="W148" s="9">
        <v>0</v>
      </c>
      <c r="X148" s="9">
        <v>0</v>
      </c>
    </row>
    <row r="149" spans="1:24" ht="56.25" x14ac:dyDescent="0.25">
      <c r="A149" s="5" t="s">
        <v>209</v>
      </c>
      <c r="B149" s="13" t="s">
        <v>207</v>
      </c>
      <c r="C149" s="13" t="s">
        <v>208</v>
      </c>
      <c r="D149" s="12">
        <v>55</v>
      </c>
      <c r="E149" s="11">
        <v>1</v>
      </c>
      <c r="F149" s="12">
        <v>1701</v>
      </c>
      <c r="G149" s="5" t="str">
        <f t="shared" si="2"/>
        <v>53</v>
      </c>
      <c r="H149" s="5">
        <v>530612</v>
      </c>
      <c r="I149" s="6" t="str">
        <f>+IFERROR(VLOOKUP(H149,[1]CATALOGO!$B$2:$C$98,2,0),"")</f>
        <v>Capacitación a Servidores Públicos</v>
      </c>
      <c r="J149" s="11">
        <v>2</v>
      </c>
      <c r="K149" s="8">
        <v>624.32999999999993</v>
      </c>
      <c r="L149" s="9">
        <v>0</v>
      </c>
      <c r="M149" s="9">
        <v>0</v>
      </c>
      <c r="N149" s="9">
        <v>0</v>
      </c>
      <c r="O149" s="9">
        <v>0</v>
      </c>
      <c r="P149" s="9">
        <v>0</v>
      </c>
      <c r="Q149" s="9">
        <v>0</v>
      </c>
      <c r="R149" s="9">
        <v>0</v>
      </c>
      <c r="S149" s="9">
        <v>0</v>
      </c>
      <c r="T149" s="9">
        <v>0</v>
      </c>
      <c r="U149" s="9">
        <v>0</v>
      </c>
      <c r="V149" s="9">
        <v>0</v>
      </c>
      <c r="W149" s="9">
        <v>0</v>
      </c>
      <c r="X149" s="9">
        <v>0</v>
      </c>
    </row>
    <row r="150" spans="1:24" ht="56.25" x14ac:dyDescent="0.25">
      <c r="A150" s="5" t="s">
        <v>210</v>
      </c>
      <c r="B150" s="13" t="s">
        <v>211</v>
      </c>
      <c r="C150" s="13" t="s">
        <v>212</v>
      </c>
      <c r="D150" s="12">
        <v>55</v>
      </c>
      <c r="E150" s="5">
        <v>1</v>
      </c>
      <c r="F150" s="5">
        <v>1701</v>
      </c>
      <c r="G150" s="5" t="str">
        <f t="shared" si="2"/>
        <v>84</v>
      </c>
      <c r="H150" s="5">
        <v>840107</v>
      </c>
      <c r="I150" s="6" t="str">
        <f>+IFERROR(VLOOKUP(H150,[1]CATALOGO!$B$2:$C$98,2,0),"")</f>
        <v>Equipos, Sistemas y Paquetes Informáticos</v>
      </c>
      <c r="J150" s="11">
        <v>2</v>
      </c>
      <c r="K150" s="8">
        <v>-1576653.9500000009</v>
      </c>
      <c r="L150" s="9">
        <v>0</v>
      </c>
      <c r="M150" s="9">
        <v>0</v>
      </c>
      <c r="N150" s="9">
        <v>0</v>
      </c>
      <c r="O150" s="9">
        <v>0</v>
      </c>
      <c r="P150" s="9">
        <v>0</v>
      </c>
      <c r="Q150" s="9">
        <v>0</v>
      </c>
      <c r="R150" s="9">
        <v>0</v>
      </c>
      <c r="S150" s="9">
        <v>0</v>
      </c>
      <c r="T150" s="9">
        <v>0</v>
      </c>
      <c r="U150" s="9">
        <v>0</v>
      </c>
      <c r="V150" s="9">
        <v>0</v>
      </c>
      <c r="W150" s="9">
        <v>0</v>
      </c>
      <c r="X150" s="9">
        <v>0</v>
      </c>
    </row>
    <row r="151" spans="1:24" ht="56.25" x14ac:dyDescent="0.25">
      <c r="A151" s="5" t="s">
        <v>213</v>
      </c>
      <c r="B151" s="13" t="s">
        <v>211</v>
      </c>
      <c r="C151" s="13" t="s">
        <v>212</v>
      </c>
      <c r="D151" s="11">
        <v>55</v>
      </c>
      <c r="E151" s="11">
        <v>1</v>
      </c>
      <c r="F151" s="12">
        <v>1701</v>
      </c>
      <c r="G151" s="5" t="str">
        <f t="shared" si="2"/>
        <v>53</v>
      </c>
      <c r="H151" s="5">
        <v>530829</v>
      </c>
      <c r="I151" s="6" t="str">
        <f>+IFERROR(VLOOKUP(H151,[1]CATALOGO!$B$2:$C$98,2,0),"")</f>
        <v>Insumos Materiales Suministros y bienes para Investigacion</v>
      </c>
      <c r="J151" s="11">
        <v>2</v>
      </c>
      <c r="K151" s="8">
        <v>-10800</v>
      </c>
      <c r="L151" s="9">
        <v>0</v>
      </c>
      <c r="M151" s="9">
        <v>0</v>
      </c>
      <c r="N151" s="9">
        <v>0</v>
      </c>
      <c r="O151" s="9">
        <v>0</v>
      </c>
      <c r="P151" s="9">
        <v>0</v>
      </c>
      <c r="Q151" s="9">
        <v>0</v>
      </c>
      <c r="R151" s="9">
        <v>0</v>
      </c>
      <c r="S151" s="9">
        <v>0</v>
      </c>
      <c r="T151" s="9">
        <v>0</v>
      </c>
      <c r="U151" s="9">
        <v>0</v>
      </c>
      <c r="V151" s="9">
        <v>0</v>
      </c>
      <c r="W151" s="9">
        <v>0</v>
      </c>
      <c r="X151" s="9">
        <v>0</v>
      </c>
    </row>
    <row r="152" spans="1:24" ht="56.25" x14ac:dyDescent="0.25">
      <c r="A152" s="5" t="s">
        <v>214</v>
      </c>
      <c r="B152" s="13" t="s">
        <v>211</v>
      </c>
      <c r="C152" s="13" t="s">
        <v>212</v>
      </c>
      <c r="D152" s="11">
        <v>55</v>
      </c>
      <c r="E152" s="11">
        <v>1</v>
      </c>
      <c r="F152" s="5">
        <v>1701</v>
      </c>
      <c r="G152" s="5" t="str">
        <f t="shared" si="2"/>
        <v>53</v>
      </c>
      <c r="H152" s="5">
        <v>530105</v>
      </c>
      <c r="I152" s="6" t="str">
        <f>+IFERROR(VLOOKUP(H152,[1]CATALOGO!$B$2:$C$98,2,0),"")</f>
        <v>Telecomunicaciones</v>
      </c>
      <c r="J152" s="11">
        <v>2</v>
      </c>
      <c r="K152" s="8">
        <v>6200</v>
      </c>
      <c r="L152" s="9">
        <v>0</v>
      </c>
      <c r="M152" s="9">
        <v>0</v>
      </c>
      <c r="N152" s="9">
        <v>0</v>
      </c>
      <c r="O152" s="9">
        <v>0</v>
      </c>
      <c r="P152" s="9">
        <v>0</v>
      </c>
      <c r="Q152" s="9">
        <v>0</v>
      </c>
      <c r="R152" s="9">
        <v>0</v>
      </c>
      <c r="S152" s="9">
        <v>0</v>
      </c>
      <c r="T152" s="9">
        <v>0</v>
      </c>
      <c r="U152" s="9">
        <v>0</v>
      </c>
      <c r="V152" s="9">
        <v>0</v>
      </c>
      <c r="W152" s="9">
        <v>0</v>
      </c>
      <c r="X152" s="9">
        <v>0</v>
      </c>
    </row>
    <row r="153" spans="1:24" ht="56.25" x14ac:dyDescent="0.25">
      <c r="A153" s="5" t="s">
        <v>215</v>
      </c>
      <c r="B153" s="13" t="s">
        <v>211</v>
      </c>
      <c r="C153" s="13" t="s">
        <v>212</v>
      </c>
      <c r="D153" s="12">
        <v>55</v>
      </c>
      <c r="E153" s="5">
        <v>1</v>
      </c>
      <c r="F153" s="5">
        <v>1701</v>
      </c>
      <c r="G153" s="5" t="str">
        <f t="shared" si="2"/>
        <v>84</v>
      </c>
      <c r="H153" s="5">
        <v>840107</v>
      </c>
      <c r="I153" s="6" t="str">
        <f>+IFERROR(VLOOKUP(H153,[1]CATALOGO!$B$2:$C$98,2,0),"")</f>
        <v>Equipos, Sistemas y Paquetes Informáticos</v>
      </c>
      <c r="J153" s="11">
        <v>2</v>
      </c>
      <c r="K153" s="8">
        <v>1300</v>
      </c>
      <c r="L153" s="9">
        <v>0</v>
      </c>
      <c r="M153" s="9">
        <v>0</v>
      </c>
      <c r="N153" s="9">
        <v>0</v>
      </c>
      <c r="O153" s="9">
        <v>0</v>
      </c>
      <c r="P153" s="9">
        <v>0</v>
      </c>
      <c r="Q153" s="9">
        <v>0</v>
      </c>
      <c r="R153" s="9">
        <v>0</v>
      </c>
      <c r="S153" s="9">
        <v>0</v>
      </c>
      <c r="T153" s="9">
        <v>0</v>
      </c>
      <c r="U153" s="9">
        <v>0</v>
      </c>
      <c r="V153" s="9">
        <v>0</v>
      </c>
      <c r="W153" s="9">
        <v>0</v>
      </c>
      <c r="X153" s="9">
        <v>0</v>
      </c>
    </row>
    <row r="154" spans="1:24" ht="45" x14ac:dyDescent="0.25">
      <c r="A154" s="5" t="s">
        <v>216</v>
      </c>
      <c r="B154" s="5" t="s">
        <v>44</v>
      </c>
      <c r="C154" s="5" t="s">
        <v>45</v>
      </c>
      <c r="D154" s="11">
        <v>55</v>
      </c>
      <c r="E154" s="11">
        <v>1</v>
      </c>
      <c r="F154" s="12">
        <v>1701</v>
      </c>
      <c r="G154" s="5" t="str">
        <f t="shared" si="2"/>
        <v>53</v>
      </c>
      <c r="H154" s="5">
        <v>530609</v>
      </c>
      <c r="I154" s="6" t="str">
        <f>+IFERROR(VLOOKUP(H154,[1]CATALOGO!$B$2:$C$98,2,0),"")</f>
        <v>Investigaciones Profesionales y Analisis de Laboratorio</v>
      </c>
      <c r="J154" s="11">
        <v>2</v>
      </c>
      <c r="K154" s="8">
        <v>18800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</row>
    <row r="155" spans="1:24" ht="56.25" x14ac:dyDescent="0.25">
      <c r="A155" s="5" t="s">
        <v>217</v>
      </c>
      <c r="B155" s="13" t="s">
        <v>211</v>
      </c>
      <c r="C155" s="13" t="s">
        <v>212</v>
      </c>
      <c r="D155" s="12">
        <v>55</v>
      </c>
      <c r="E155" s="5">
        <v>1</v>
      </c>
      <c r="F155" s="5">
        <v>1701</v>
      </c>
      <c r="G155" s="5" t="str">
        <f t="shared" si="2"/>
        <v>53</v>
      </c>
      <c r="H155" s="5">
        <v>530813</v>
      </c>
      <c r="I155" s="6" t="str">
        <f>+IFERROR(VLOOKUP(H155,[1]CATALOGO!$B$2:$C$98,2,0),"")</f>
        <v>Repuestos y Accesorios</v>
      </c>
      <c r="J155" s="11">
        <v>2</v>
      </c>
      <c r="K155" s="8">
        <v>300</v>
      </c>
      <c r="L155" s="9">
        <v>0</v>
      </c>
      <c r="M155" s="9">
        <v>0</v>
      </c>
      <c r="N155" s="9">
        <v>0</v>
      </c>
      <c r="O155" s="9">
        <v>0</v>
      </c>
      <c r="P155" s="9">
        <v>0</v>
      </c>
      <c r="Q155" s="9">
        <v>0</v>
      </c>
      <c r="R155" s="9">
        <v>0</v>
      </c>
      <c r="S155" s="9">
        <v>0</v>
      </c>
      <c r="T155" s="9">
        <v>0</v>
      </c>
      <c r="U155" s="9">
        <v>0</v>
      </c>
      <c r="V155" s="9">
        <v>0</v>
      </c>
      <c r="W155" s="9">
        <v>0</v>
      </c>
      <c r="X155" s="9">
        <v>0</v>
      </c>
    </row>
    <row r="156" spans="1:24" ht="56.25" x14ac:dyDescent="0.25">
      <c r="A156" s="5" t="s">
        <v>218</v>
      </c>
      <c r="B156" s="13" t="s">
        <v>211</v>
      </c>
      <c r="C156" s="13" t="s">
        <v>212</v>
      </c>
      <c r="D156" s="11">
        <v>55</v>
      </c>
      <c r="E156" s="11">
        <v>1</v>
      </c>
      <c r="F156" s="12">
        <v>1701</v>
      </c>
      <c r="G156" s="5" t="str">
        <f t="shared" si="2"/>
        <v>84</v>
      </c>
      <c r="H156" s="5">
        <v>840104</v>
      </c>
      <c r="I156" s="6" t="str">
        <f>+IFERROR(VLOOKUP(H156,[1]CATALOGO!$B$2:$C$98,2,0),"")</f>
        <v>Maquinarias y Equipos</v>
      </c>
      <c r="J156" s="11">
        <v>2</v>
      </c>
      <c r="K156" s="8">
        <v>-1209.6000000000004</v>
      </c>
      <c r="L156" s="9">
        <v>0</v>
      </c>
      <c r="M156" s="9">
        <v>0</v>
      </c>
      <c r="N156" s="9">
        <v>0</v>
      </c>
      <c r="O156" s="9">
        <v>0</v>
      </c>
      <c r="P156" s="9">
        <v>0</v>
      </c>
      <c r="Q156" s="9">
        <v>0</v>
      </c>
      <c r="R156" s="9">
        <v>0</v>
      </c>
      <c r="S156" s="9">
        <v>0</v>
      </c>
      <c r="T156" s="9">
        <v>0</v>
      </c>
      <c r="U156" s="9">
        <v>0</v>
      </c>
      <c r="V156" s="9">
        <v>0</v>
      </c>
      <c r="W156" s="9">
        <v>0</v>
      </c>
      <c r="X156" s="9">
        <v>0</v>
      </c>
    </row>
    <row r="157" spans="1:24" ht="56.25" x14ac:dyDescent="0.25">
      <c r="A157" s="5" t="s">
        <v>219</v>
      </c>
      <c r="B157" s="13" t="s">
        <v>211</v>
      </c>
      <c r="C157" s="13" t="s">
        <v>212</v>
      </c>
      <c r="D157" s="11">
        <v>1</v>
      </c>
      <c r="E157" s="11">
        <v>1</v>
      </c>
      <c r="F157" s="12">
        <v>1701</v>
      </c>
      <c r="G157" s="5" t="str">
        <f>LEFT(H157,2)</f>
        <v>84</v>
      </c>
      <c r="H157" s="5">
        <v>840104</v>
      </c>
      <c r="I157" s="6" t="str">
        <f>+IFERROR(VLOOKUP(H157,[1]CATALOGO!$B$2:$C$98,2,0),"")</f>
        <v>Maquinarias y Equipos</v>
      </c>
      <c r="J157" s="11">
        <v>2</v>
      </c>
      <c r="K157" s="8">
        <v>909.60000000000036</v>
      </c>
      <c r="L157" s="9">
        <v>0</v>
      </c>
      <c r="M157" s="9">
        <v>0</v>
      </c>
      <c r="N157" s="9">
        <v>0</v>
      </c>
      <c r="O157" s="9">
        <v>0</v>
      </c>
      <c r="P157" s="9">
        <v>0</v>
      </c>
      <c r="Q157" s="9">
        <v>0</v>
      </c>
      <c r="R157" s="9">
        <v>0</v>
      </c>
      <c r="S157" s="9">
        <v>0</v>
      </c>
      <c r="T157" s="9">
        <v>0</v>
      </c>
      <c r="U157" s="9">
        <v>0</v>
      </c>
      <c r="V157" s="9">
        <v>0</v>
      </c>
      <c r="W157" s="9">
        <v>0</v>
      </c>
      <c r="X157" s="9">
        <v>0</v>
      </c>
    </row>
    <row r="158" spans="1:24" ht="56.25" x14ac:dyDescent="0.25">
      <c r="A158" s="5" t="s">
        <v>220</v>
      </c>
      <c r="B158" s="13" t="s">
        <v>211</v>
      </c>
      <c r="C158" s="13" t="s">
        <v>212</v>
      </c>
      <c r="D158" s="12">
        <v>55</v>
      </c>
      <c r="E158" s="5">
        <v>1</v>
      </c>
      <c r="F158" s="5">
        <v>1701</v>
      </c>
      <c r="G158" s="5" t="str">
        <f t="shared" si="2"/>
        <v>84</v>
      </c>
      <c r="H158" s="5">
        <v>840107</v>
      </c>
      <c r="I158" s="6" t="str">
        <f>+IFERROR(VLOOKUP(H158,[1]CATALOGO!$B$2:$C$98,2,0),"")</f>
        <v>Equipos, Sistemas y Paquetes Informáticos</v>
      </c>
      <c r="J158" s="11">
        <v>2</v>
      </c>
      <c r="K158" s="8">
        <v>-1000</v>
      </c>
      <c r="L158" s="9">
        <v>0</v>
      </c>
      <c r="M158" s="9">
        <v>0</v>
      </c>
      <c r="N158" s="9">
        <v>0</v>
      </c>
      <c r="O158" s="9">
        <v>0</v>
      </c>
      <c r="P158" s="9">
        <v>0</v>
      </c>
      <c r="Q158" s="9">
        <v>0</v>
      </c>
      <c r="R158" s="9">
        <v>0</v>
      </c>
      <c r="S158" s="9">
        <v>0</v>
      </c>
      <c r="T158" s="9">
        <v>0</v>
      </c>
      <c r="U158" s="9">
        <v>0</v>
      </c>
      <c r="V158" s="9">
        <v>0</v>
      </c>
      <c r="W158" s="9">
        <v>0</v>
      </c>
      <c r="X158" s="9">
        <v>0</v>
      </c>
    </row>
    <row r="159" spans="1:24" ht="56.25" x14ac:dyDescent="0.25">
      <c r="A159" s="5" t="s">
        <v>221</v>
      </c>
      <c r="B159" s="13" t="s">
        <v>211</v>
      </c>
      <c r="C159" s="13" t="s">
        <v>212</v>
      </c>
      <c r="D159" s="5">
        <v>1</v>
      </c>
      <c r="E159" s="5">
        <v>1</v>
      </c>
      <c r="F159" s="12">
        <v>1701</v>
      </c>
      <c r="G159" s="5" t="str">
        <f t="shared" si="2"/>
        <v>84</v>
      </c>
      <c r="H159" s="5">
        <v>840104</v>
      </c>
      <c r="I159" s="6" t="str">
        <f>+IFERROR(VLOOKUP(H159,[1]CATALOGO!$B$2:$C$98,2,0),"")</f>
        <v>Maquinarias y Equipos</v>
      </c>
      <c r="J159" s="6">
        <v>2</v>
      </c>
      <c r="K159" s="8">
        <v>-3970.3999999999996</v>
      </c>
      <c r="L159" s="9">
        <v>0</v>
      </c>
      <c r="M159" s="9">
        <v>0</v>
      </c>
      <c r="N159" s="9">
        <v>0</v>
      </c>
      <c r="O159" s="9">
        <v>0</v>
      </c>
      <c r="P159" s="9">
        <v>0</v>
      </c>
      <c r="Q159" s="9">
        <v>0</v>
      </c>
      <c r="R159" s="9">
        <v>0</v>
      </c>
      <c r="S159" s="9">
        <v>0</v>
      </c>
      <c r="T159" s="9">
        <v>0</v>
      </c>
      <c r="U159" s="9">
        <v>0</v>
      </c>
      <c r="V159" s="9">
        <v>0</v>
      </c>
      <c r="W159" s="9">
        <v>0</v>
      </c>
      <c r="X159" s="9">
        <v>0</v>
      </c>
    </row>
    <row r="160" spans="1:24" ht="33.75" x14ac:dyDescent="0.25">
      <c r="A160" s="5" t="s">
        <v>222</v>
      </c>
      <c r="B160" s="5" t="s">
        <v>114</v>
      </c>
      <c r="C160" s="5" t="s">
        <v>114</v>
      </c>
      <c r="D160" s="5">
        <v>1</v>
      </c>
      <c r="E160" s="5">
        <v>1</v>
      </c>
      <c r="F160" s="5">
        <v>1701</v>
      </c>
      <c r="G160" s="5" t="str">
        <f t="shared" si="2"/>
        <v>53</v>
      </c>
      <c r="H160" s="5">
        <v>530303</v>
      </c>
      <c r="I160" s="6" t="str">
        <f>+IFERROR(VLOOKUP(H160,[1]CATALOGO!$B$2:$C$98,2,0),"")</f>
        <v>Viaticos y Subsistencias en el Interior</v>
      </c>
      <c r="J160" s="6">
        <v>2</v>
      </c>
      <c r="K160" s="8">
        <v>10610.4</v>
      </c>
      <c r="L160" s="8">
        <v>288.76</v>
      </c>
      <c r="M160" s="8">
        <v>0</v>
      </c>
      <c r="N160" s="8">
        <v>128.76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80</v>
      </c>
      <c r="V160" s="8">
        <v>0</v>
      </c>
      <c r="W160" s="8">
        <v>80</v>
      </c>
      <c r="X160" s="8">
        <v>0</v>
      </c>
    </row>
    <row r="161" spans="1:24" ht="56.25" x14ac:dyDescent="0.25">
      <c r="A161" s="5" t="s">
        <v>223</v>
      </c>
      <c r="B161" s="5" t="s">
        <v>92</v>
      </c>
      <c r="C161" s="13" t="s">
        <v>224</v>
      </c>
      <c r="D161" s="5">
        <v>1</v>
      </c>
      <c r="E161" s="5">
        <v>1</v>
      </c>
      <c r="F161" s="5">
        <v>1701</v>
      </c>
      <c r="G161" s="5" t="str">
        <f t="shared" si="2"/>
        <v>53</v>
      </c>
      <c r="H161" s="5">
        <v>530303</v>
      </c>
      <c r="I161" s="6" t="str">
        <f>+IFERROR(VLOOKUP(H161,[1]CATALOGO!$B$2:$C$98,2,0),"")</f>
        <v>Viaticos y Subsistencias en el Interior</v>
      </c>
      <c r="J161" s="6">
        <v>2</v>
      </c>
      <c r="K161" s="8">
        <v>-460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</row>
    <row r="162" spans="1:24" ht="33.75" x14ac:dyDescent="0.25">
      <c r="A162" s="5" t="s">
        <v>225</v>
      </c>
      <c r="B162" s="5" t="s">
        <v>92</v>
      </c>
      <c r="C162" s="13" t="s">
        <v>226</v>
      </c>
      <c r="D162" s="5">
        <v>1</v>
      </c>
      <c r="E162" s="5">
        <v>1</v>
      </c>
      <c r="F162" s="5">
        <v>1701</v>
      </c>
      <c r="G162" s="5" t="str">
        <f t="shared" si="2"/>
        <v>53</v>
      </c>
      <c r="H162" s="5">
        <v>530303</v>
      </c>
      <c r="I162" s="6" t="str">
        <f>+IFERROR(VLOOKUP(H162,[1]CATALOGO!$B$2:$C$98,2,0),"")</f>
        <v>Viaticos y Subsistencias en el Interior</v>
      </c>
      <c r="J162" s="6">
        <v>2</v>
      </c>
      <c r="K162" s="8">
        <v>4760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</row>
    <row r="163" spans="1:24" ht="56.25" x14ac:dyDescent="0.25">
      <c r="A163" s="5" t="s">
        <v>227</v>
      </c>
      <c r="B163" s="5" t="s">
        <v>25</v>
      </c>
      <c r="C163" s="13" t="s">
        <v>228</v>
      </c>
      <c r="D163" s="5">
        <v>1</v>
      </c>
      <c r="E163" s="5">
        <v>1</v>
      </c>
      <c r="F163" s="5">
        <v>1701</v>
      </c>
      <c r="G163" s="5" t="str">
        <f t="shared" si="2"/>
        <v>53</v>
      </c>
      <c r="H163" s="5">
        <v>530303</v>
      </c>
      <c r="I163" s="6" t="str">
        <f>+IFERROR(VLOOKUP(H163,[1]CATALOGO!$B$2:$C$98,2,0),"")</f>
        <v>Viaticos y Subsistencias en el Interior</v>
      </c>
      <c r="J163" s="6">
        <v>2</v>
      </c>
      <c r="K163" s="8">
        <v>960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</row>
    <row r="164" spans="1:24" ht="45" x14ac:dyDescent="0.25">
      <c r="A164" s="5" t="s">
        <v>229</v>
      </c>
      <c r="B164" s="5" t="s">
        <v>120</v>
      </c>
      <c r="C164" s="5" t="s">
        <v>130</v>
      </c>
      <c r="D164" s="5">
        <v>55</v>
      </c>
      <c r="E164" s="5">
        <v>1</v>
      </c>
      <c r="F164" s="5">
        <v>1701</v>
      </c>
      <c r="G164" s="5" t="str">
        <f t="shared" si="2"/>
        <v>53</v>
      </c>
      <c r="H164" s="5">
        <v>530303</v>
      </c>
      <c r="I164" s="6" t="str">
        <f>+IFERROR(VLOOKUP(H164,[1]CATALOGO!$B$2:$C$98,2,0),"")</f>
        <v>Viaticos y Subsistencias en el Interior</v>
      </c>
      <c r="J164" s="6">
        <v>2</v>
      </c>
      <c r="K164" s="8">
        <v>10710</v>
      </c>
      <c r="L164" s="8">
        <v>235.74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235.74</v>
      </c>
      <c r="V164" s="8">
        <v>0</v>
      </c>
      <c r="W164" s="8">
        <v>0</v>
      </c>
      <c r="X164" s="8">
        <v>0</v>
      </c>
    </row>
    <row r="165" spans="1:24" ht="56.25" x14ac:dyDescent="0.25">
      <c r="A165" s="5" t="s">
        <v>230</v>
      </c>
      <c r="B165" s="5" t="s">
        <v>120</v>
      </c>
      <c r="C165" s="5" t="s">
        <v>121</v>
      </c>
      <c r="D165" s="5">
        <v>55</v>
      </c>
      <c r="E165" s="5">
        <v>1</v>
      </c>
      <c r="F165" s="5">
        <v>1701</v>
      </c>
      <c r="G165" s="5" t="str">
        <f t="shared" si="2"/>
        <v>53</v>
      </c>
      <c r="H165" s="5">
        <v>530303</v>
      </c>
      <c r="I165" s="6" t="str">
        <f>+IFERROR(VLOOKUP(H165,[1]CATALOGO!$B$2:$C$98,2,0),"")</f>
        <v>Viaticos y Subsistencias en el Interior</v>
      </c>
      <c r="J165" s="6">
        <v>2</v>
      </c>
      <c r="K165" s="8">
        <v>2800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</row>
    <row r="166" spans="1:24" ht="33.75" x14ac:dyDescent="0.25">
      <c r="A166" s="5" t="s">
        <v>231</v>
      </c>
      <c r="B166" s="5" t="s">
        <v>28</v>
      </c>
      <c r="C166" s="13" t="s">
        <v>29</v>
      </c>
      <c r="D166" s="5">
        <v>1</v>
      </c>
      <c r="E166" s="5">
        <v>1</v>
      </c>
      <c r="F166" s="5">
        <v>1701</v>
      </c>
      <c r="G166" s="5" t="str">
        <f t="shared" si="2"/>
        <v>53</v>
      </c>
      <c r="H166" s="5">
        <v>530303</v>
      </c>
      <c r="I166" s="6" t="str">
        <f>+IFERROR(VLOOKUP(H166,[1]CATALOGO!$B$2:$C$98,2,0),"")</f>
        <v>Viaticos y Subsistencias en el Interior</v>
      </c>
      <c r="J166" s="6">
        <v>2</v>
      </c>
      <c r="K166" s="8">
        <v>5840</v>
      </c>
      <c r="L166" s="8">
        <v>5618.75</v>
      </c>
      <c r="M166" s="8">
        <v>0</v>
      </c>
      <c r="N166" s="8">
        <v>130</v>
      </c>
      <c r="O166" s="8">
        <f>370+459.59+86.75</f>
        <v>916.33999999999992</v>
      </c>
      <c r="P166" s="8">
        <f>320.73+397.36-208.37+0.24+208.13</f>
        <v>718.09</v>
      </c>
      <c r="Q166" s="8">
        <f>256.77+879.28+80</f>
        <v>1216.05</v>
      </c>
      <c r="R166" s="8">
        <f>1330+239.84+340</f>
        <v>1909.84</v>
      </c>
      <c r="S166" s="8">
        <v>0</v>
      </c>
      <c r="T166" s="8">
        <v>260</v>
      </c>
      <c r="U166" s="8">
        <v>388.43</v>
      </c>
      <c r="V166" s="8">
        <v>0</v>
      </c>
      <c r="W166" s="8">
        <v>80</v>
      </c>
      <c r="X166" s="8">
        <v>0</v>
      </c>
    </row>
    <row r="167" spans="1:24" ht="45" x14ac:dyDescent="0.25">
      <c r="A167" s="5" t="s">
        <v>232</v>
      </c>
      <c r="B167" s="5" t="s">
        <v>28</v>
      </c>
      <c r="C167" s="13" t="s">
        <v>152</v>
      </c>
      <c r="D167" s="5">
        <v>1</v>
      </c>
      <c r="E167" s="5">
        <v>1</v>
      </c>
      <c r="F167" s="5">
        <v>1701</v>
      </c>
      <c r="G167" s="5" t="str">
        <f t="shared" si="2"/>
        <v>53</v>
      </c>
      <c r="H167" s="5">
        <v>530303</v>
      </c>
      <c r="I167" s="6" t="str">
        <f>+IFERROR(VLOOKUP(H167,[1]CATALOGO!$B$2:$C$98,2,0),"")</f>
        <v>Viaticos y Subsistencias en el Interior</v>
      </c>
      <c r="J167" s="6">
        <v>2</v>
      </c>
      <c r="K167" s="8">
        <v>-5850.34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</row>
    <row r="168" spans="1:24" ht="33.75" x14ac:dyDescent="0.25">
      <c r="A168" s="5" t="s">
        <v>233</v>
      </c>
      <c r="B168" s="5" t="s">
        <v>28</v>
      </c>
      <c r="C168" s="5" t="s">
        <v>28</v>
      </c>
      <c r="D168" s="5">
        <v>1</v>
      </c>
      <c r="E168" s="5">
        <v>1</v>
      </c>
      <c r="F168" s="5">
        <v>1701</v>
      </c>
      <c r="G168" s="5" t="str">
        <f t="shared" si="2"/>
        <v>53</v>
      </c>
      <c r="H168" s="5">
        <v>530303</v>
      </c>
      <c r="I168" s="6" t="str">
        <f>+IFERROR(VLOOKUP(H168,[1]CATALOGO!$B$2:$C$98,2,0),"")</f>
        <v>Viaticos y Subsistencias en el Interior</v>
      </c>
      <c r="J168" s="6">
        <v>2</v>
      </c>
      <c r="K168" s="8">
        <v>1500</v>
      </c>
      <c r="L168" s="8">
        <v>1080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390</v>
      </c>
      <c r="W168" s="8">
        <f>80+480+130</f>
        <v>690</v>
      </c>
      <c r="X168" s="8">
        <v>0</v>
      </c>
    </row>
    <row r="169" spans="1:24" ht="56.25" x14ac:dyDescent="0.25">
      <c r="A169" s="5" t="s">
        <v>234</v>
      </c>
      <c r="B169" s="5" t="s">
        <v>120</v>
      </c>
      <c r="C169" s="5" t="s">
        <v>235</v>
      </c>
      <c r="D169" s="5">
        <v>55</v>
      </c>
      <c r="E169" s="5">
        <v>1</v>
      </c>
      <c r="F169" s="5">
        <v>1701</v>
      </c>
      <c r="G169" s="5" t="str">
        <f t="shared" si="2"/>
        <v>53</v>
      </c>
      <c r="H169" s="5">
        <v>530303</v>
      </c>
      <c r="I169" s="6" t="str">
        <f>+IFERROR(VLOOKUP(H169,[1]CATALOGO!$B$2:$C$98,2,0),"")</f>
        <v>Viaticos y Subsistencias en el Interior</v>
      </c>
      <c r="J169" s="6">
        <v>2</v>
      </c>
      <c r="K169" s="8">
        <v>2640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</row>
    <row r="170" spans="1:24" ht="45" x14ac:dyDescent="0.25">
      <c r="A170" s="5" t="s">
        <v>236</v>
      </c>
      <c r="B170" s="13" t="s">
        <v>207</v>
      </c>
      <c r="C170" s="5" t="s">
        <v>237</v>
      </c>
      <c r="D170" s="5">
        <v>55</v>
      </c>
      <c r="E170" s="5">
        <v>1</v>
      </c>
      <c r="F170" s="5">
        <v>1701</v>
      </c>
      <c r="G170" s="5" t="str">
        <f t="shared" si="2"/>
        <v>53</v>
      </c>
      <c r="H170" s="5">
        <v>530303</v>
      </c>
      <c r="I170" s="6" t="str">
        <f>+IFERROR(VLOOKUP(H170,[1]CATALOGO!$B$2:$C$98,2,0),"")</f>
        <v>Viaticos y Subsistencias en el Interior</v>
      </c>
      <c r="J170" s="6">
        <v>2</v>
      </c>
      <c r="K170" s="8">
        <v>41920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</row>
    <row r="171" spans="1:24" ht="56.25" x14ac:dyDescent="0.25">
      <c r="A171" s="5" t="s">
        <v>238</v>
      </c>
      <c r="B171" s="13" t="s">
        <v>207</v>
      </c>
      <c r="C171" s="5" t="s">
        <v>239</v>
      </c>
      <c r="D171" s="5">
        <v>55</v>
      </c>
      <c r="E171" s="5">
        <v>1</v>
      </c>
      <c r="F171" s="5">
        <v>1701</v>
      </c>
      <c r="G171" s="5" t="str">
        <f t="shared" si="2"/>
        <v>53</v>
      </c>
      <c r="H171" s="5">
        <v>530303</v>
      </c>
      <c r="I171" s="6" t="str">
        <f>+IFERROR(VLOOKUP(H171,[1]CATALOGO!$B$2:$C$98,2,0),"")</f>
        <v>Viaticos y Subsistencias en el Interior</v>
      </c>
      <c r="J171" s="6">
        <v>2</v>
      </c>
      <c r="K171" s="8">
        <v>12400</v>
      </c>
      <c r="L171" s="8">
        <v>1991</v>
      </c>
      <c r="M171" s="8">
        <v>0</v>
      </c>
      <c r="N171" s="8">
        <v>0</v>
      </c>
      <c r="O171" s="8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1591.75</v>
      </c>
      <c r="W171" s="8">
        <f>239.25+160</f>
        <v>399.25</v>
      </c>
      <c r="X171" s="8">
        <v>0</v>
      </c>
    </row>
    <row r="172" spans="1:24" ht="45" x14ac:dyDescent="0.25">
      <c r="A172" s="5" t="s">
        <v>240</v>
      </c>
      <c r="B172" s="13" t="s">
        <v>207</v>
      </c>
      <c r="C172" s="5" t="s">
        <v>241</v>
      </c>
      <c r="D172" s="5">
        <v>55</v>
      </c>
      <c r="E172" s="5">
        <v>1</v>
      </c>
      <c r="F172" s="5">
        <v>1701</v>
      </c>
      <c r="G172" s="5" t="str">
        <f t="shared" si="2"/>
        <v>53</v>
      </c>
      <c r="H172" s="5">
        <v>530303</v>
      </c>
      <c r="I172" s="6" t="str">
        <f>+IFERROR(VLOOKUP(H172,[1]CATALOGO!$B$2:$C$98,2,0),"")</f>
        <v>Viaticos y Subsistencias en el Interior</v>
      </c>
      <c r="J172" s="6">
        <v>2</v>
      </c>
      <c r="K172" s="8">
        <v>41920</v>
      </c>
      <c r="L172" s="8">
        <v>3248.2599999999902</v>
      </c>
      <c r="M172" s="8">
        <v>0</v>
      </c>
      <c r="N172" s="8">
        <v>0</v>
      </c>
      <c r="O172" s="8">
        <f>549.99+240+476.5</f>
        <v>1266.49</v>
      </c>
      <c r="P172" s="8">
        <v>322.22000000000003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1104.8499999999899</v>
      </c>
      <c r="W172" s="8">
        <v>0</v>
      </c>
      <c r="X172" s="8">
        <v>554.70000000000005</v>
      </c>
    </row>
    <row r="173" spans="1:24" ht="45" x14ac:dyDescent="0.25">
      <c r="A173" s="5" t="s">
        <v>242</v>
      </c>
      <c r="B173" s="13" t="s">
        <v>207</v>
      </c>
      <c r="C173" s="5" t="s">
        <v>243</v>
      </c>
      <c r="D173" s="5">
        <v>55</v>
      </c>
      <c r="E173" s="5">
        <v>1</v>
      </c>
      <c r="F173" s="5">
        <v>1701</v>
      </c>
      <c r="G173" s="5" t="str">
        <f t="shared" si="2"/>
        <v>53</v>
      </c>
      <c r="H173" s="5">
        <v>530303</v>
      </c>
      <c r="I173" s="6" t="str">
        <f>+IFERROR(VLOOKUP(H173,[1]CATALOGO!$B$2:$C$98,2,0),"")</f>
        <v>Viaticos y Subsistencias en el Interior</v>
      </c>
      <c r="J173" s="6">
        <v>2</v>
      </c>
      <c r="K173" s="8">
        <v>-28160</v>
      </c>
      <c r="L173" s="8">
        <v>1638.27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1638.27</v>
      </c>
    </row>
    <row r="174" spans="1:24" ht="45" x14ac:dyDescent="0.25">
      <c r="A174" s="5" t="s">
        <v>244</v>
      </c>
      <c r="B174" s="5" t="s">
        <v>148</v>
      </c>
      <c r="C174" s="5" t="s">
        <v>148</v>
      </c>
      <c r="D174" s="5">
        <v>1</v>
      </c>
      <c r="E174" s="5">
        <v>1</v>
      </c>
      <c r="F174" s="5">
        <v>1701</v>
      </c>
      <c r="G174" s="5" t="str">
        <f t="shared" si="2"/>
        <v>53</v>
      </c>
      <c r="H174" s="5">
        <v>530303</v>
      </c>
      <c r="I174" s="6" t="str">
        <f>+IFERROR(VLOOKUP(H174,[1]CATALOGO!$B$2:$C$98,2,0),"")</f>
        <v>Viaticos y Subsistencias en el Interior</v>
      </c>
      <c r="J174" s="6">
        <v>2</v>
      </c>
      <c r="K174" s="8">
        <v>960</v>
      </c>
      <c r="L174" s="8">
        <v>342.48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f>160+182.48</f>
        <v>342.48</v>
      </c>
      <c r="V174" s="8">
        <v>0</v>
      </c>
      <c r="W174" s="8">
        <v>0</v>
      </c>
      <c r="X174" s="8">
        <v>0</v>
      </c>
    </row>
    <row r="175" spans="1:24" ht="56.25" x14ac:dyDescent="0.25">
      <c r="A175" s="5" t="s">
        <v>245</v>
      </c>
      <c r="B175" s="13" t="s">
        <v>211</v>
      </c>
      <c r="C175" s="5" t="s">
        <v>212</v>
      </c>
      <c r="D175" s="5">
        <v>55</v>
      </c>
      <c r="E175" s="5">
        <v>1</v>
      </c>
      <c r="F175" s="5">
        <v>1701</v>
      </c>
      <c r="G175" s="5" t="str">
        <f t="shared" si="2"/>
        <v>53</v>
      </c>
      <c r="H175" s="5">
        <v>530303</v>
      </c>
      <c r="I175" s="6" t="str">
        <f>+IFERROR(VLOOKUP(H175,[1]CATALOGO!$B$2:$C$98,2,0),"")</f>
        <v>Viaticos y Subsistencias en el Interior</v>
      </c>
      <c r="J175" s="6">
        <v>2</v>
      </c>
      <c r="K175" s="8">
        <v>53520</v>
      </c>
      <c r="L175" s="8">
        <v>17366.62000000001</v>
      </c>
      <c r="M175" s="8">
        <v>0</v>
      </c>
      <c r="N175" s="8">
        <v>0</v>
      </c>
      <c r="O175" s="8">
        <v>0</v>
      </c>
      <c r="P175" s="8">
        <v>0</v>
      </c>
      <c r="Q175" s="8">
        <f>478.5+480+1192.82</f>
        <v>2151.3199999999997</v>
      </c>
      <c r="R175" s="8">
        <f>480+605.63+2314.95000000001</f>
        <v>3400.5800000000099</v>
      </c>
      <c r="S175" s="8">
        <f>2732.43+2678</f>
        <v>5410.43</v>
      </c>
      <c r="T175" s="8">
        <f>2057.8+186.49</f>
        <v>2244.29</v>
      </c>
      <c r="U175" s="8">
        <v>3200</v>
      </c>
      <c r="V175" s="8">
        <v>0</v>
      </c>
      <c r="W175" s="8">
        <v>960</v>
      </c>
      <c r="X175" s="8">
        <v>0</v>
      </c>
    </row>
    <row r="176" spans="1:24" ht="45" x14ac:dyDescent="0.25">
      <c r="A176" s="5" t="s">
        <v>246</v>
      </c>
      <c r="B176" s="5" t="s">
        <v>247</v>
      </c>
      <c r="C176" s="5" t="s">
        <v>247</v>
      </c>
      <c r="D176" s="5">
        <v>1</v>
      </c>
      <c r="E176" s="5">
        <v>1</v>
      </c>
      <c r="F176" s="5">
        <v>1701</v>
      </c>
      <c r="G176" s="5" t="str">
        <f t="shared" si="2"/>
        <v>84</v>
      </c>
      <c r="H176" s="5">
        <v>840107</v>
      </c>
      <c r="I176" s="6" t="str">
        <f>+IFERROR(VLOOKUP(H176,[1]CATALOGO!$B$2:$C$98,2,0),"")</f>
        <v>Equipos, Sistemas y Paquetes Informáticos</v>
      </c>
      <c r="J176" s="14">
        <v>2</v>
      </c>
      <c r="K176" s="8">
        <v>3750</v>
      </c>
      <c r="L176" s="9">
        <v>0</v>
      </c>
      <c r="M176" s="9">
        <v>0</v>
      </c>
      <c r="N176" s="9">
        <v>0</v>
      </c>
      <c r="O176" s="9">
        <v>0</v>
      </c>
      <c r="P176" s="9">
        <v>0</v>
      </c>
      <c r="Q176" s="9">
        <v>0</v>
      </c>
      <c r="R176" s="9">
        <v>0</v>
      </c>
      <c r="S176" s="9">
        <v>0</v>
      </c>
      <c r="T176" s="9">
        <v>0</v>
      </c>
      <c r="U176" s="9">
        <v>0</v>
      </c>
      <c r="V176" s="9">
        <v>0</v>
      </c>
      <c r="W176" s="9">
        <v>0</v>
      </c>
      <c r="X176" s="9">
        <v>0</v>
      </c>
    </row>
    <row r="177" spans="1:24" ht="45" x14ac:dyDescent="0.25">
      <c r="A177" s="5" t="s">
        <v>248</v>
      </c>
      <c r="B177" s="5" t="s">
        <v>247</v>
      </c>
      <c r="C177" s="5" t="s">
        <v>247</v>
      </c>
      <c r="D177" s="5">
        <v>1</v>
      </c>
      <c r="E177" s="5">
        <v>1</v>
      </c>
      <c r="F177" s="5">
        <v>1701</v>
      </c>
      <c r="G177" s="5" t="str">
        <f t="shared" si="2"/>
        <v>84</v>
      </c>
      <c r="H177" s="5">
        <v>840107</v>
      </c>
      <c r="I177" s="6" t="str">
        <f>+IFERROR(VLOOKUP(H177,[1]CATALOGO!$B$2:$C$98,2,0),"")</f>
        <v>Equipos, Sistemas y Paquetes Informáticos</v>
      </c>
      <c r="J177" s="14">
        <v>2</v>
      </c>
      <c r="K177" s="8">
        <v>9000</v>
      </c>
      <c r="L177" s="9">
        <v>0</v>
      </c>
      <c r="M177" s="9">
        <v>0</v>
      </c>
      <c r="N177" s="9">
        <v>0</v>
      </c>
      <c r="O177" s="9">
        <v>0</v>
      </c>
      <c r="P177" s="9">
        <v>0</v>
      </c>
      <c r="Q177" s="9">
        <v>0</v>
      </c>
      <c r="R177" s="9">
        <v>0</v>
      </c>
      <c r="S177" s="9">
        <v>0</v>
      </c>
      <c r="T177" s="9">
        <v>0</v>
      </c>
      <c r="U177" s="9">
        <v>0</v>
      </c>
      <c r="V177" s="9">
        <v>0</v>
      </c>
      <c r="W177" s="9">
        <v>0</v>
      </c>
      <c r="X177" s="9">
        <v>0</v>
      </c>
    </row>
    <row r="178" spans="1:24" ht="56.25" x14ac:dyDescent="0.25">
      <c r="A178" s="5" t="s">
        <v>249</v>
      </c>
      <c r="B178" s="13" t="s">
        <v>211</v>
      </c>
      <c r="C178" s="5" t="s">
        <v>250</v>
      </c>
      <c r="D178" s="5">
        <v>1</v>
      </c>
      <c r="E178" s="5">
        <v>1</v>
      </c>
      <c r="F178" s="12">
        <v>1701</v>
      </c>
      <c r="G178" s="5" t="str">
        <f t="shared" si="2"/>
        <v>53</v>
      </c>
      <c r="H178" s="5">
        <v>530829</v>
      </c>
      <c r="I178" s="6" t="str">
        <f>+IFERROR(VLOOKUP(H178,[1]CATALOGO!$B$2:$C$98,2,0),"")</f>
        <v>Insumos Materiales Suministros y bienes para Investigacion</v>
      </c>
      <c r="J178" s="14">
        <v>2</v>
      </c>
      <c r="K178" s="8">
        <v>-60000</v>
      </c>
      <c r="L178" s="9">
        <v>0</v>
      </c>
      <c r="M178" s="9">
        <v>0</v>
      </c>
      <c r="N178" s="9">
        <v>0</v>
      </c>
      <c r="O178" s="9">
        <v>0</v>
      </c>
      <c r="P178" s="9">
        <v>0</v>
      </c>
      <c r="Q178" s="9">
        <v>0</v>
      </c>
      <c r="R178" s="9">
        <v>0</v>
      </c>
      <c r="S178" s="9">
        <v>0</v>
      </c>
      <c r="T178" s="9">
        <v>0</v>
      </c>
      <c r="U178" s="9">
        <v>0</v>
      </c>
      <c r="V178" s="9">
        <v>0</v>
      </c>
      <c r="W178" s="9">
        <v>0</v>
      </c>
      <c r="X178" s="9">
        <v>0</v>
      </c>
    </row>
    <row r="179" spans="1:24" ht="33.75" x14ac:dyDescent="0.25">
      <c r="A179" s="5" t="s">
        <v>251</v>
      </c>
      <c r="B179" s="5" t="s">
        <v>28</v>
      </c>
      <c r="C179" s="5" t="s">
        <v>29</v>
      </c>
      <c r="D179" s="5">
        <v>1</v>
      </c>
      <c r="E179" s="5">
        <v>1</v>
      </c>
      <c r="F179" s="5">
        <v>1701</v>
      </c>
      <c r="G179" s="5" t="str">
        <f t="shared" si="2"/>
        <v>53</v>
      </c>
      <c r="H179" s="5">
        <v>530255</v>
      </c>
      <c r="I179" s="6" t="str">
        <f>+IFERROR(VLOOKUP(H179,[1]CATALOGO!$B$2:$C$98,2,0),"")</f>
        <v>Combustibles y Lubricantes</v>
      </c>
      <c r="J179" s="5">
        <v>2</v>
      </c>
      <c r="K179" s="8">
        <v>-750</v>
      </c>
      <c r="L179" s="8">
        <v>1891.66</v>
      </c>
      <c r="M179" s="8">
        <v>0</v>
      </c>
      <c r="N179" s="8">
        <v>688.45</v>
      </c>
      <c r="O179" s="8">
        <v>859.44</v>
      </c>
      <c r="P179" s="8">
        <v>343.77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</row>
    <row r="180" spans="1:24" ht="56.25" x14ac:dyDescent="0.25">
      <c r="A180" s="5" t="s">
        <v>252</v>
      </c>
      <c r="B180" s="13" t="s">
        <v>211</v>
      </c>
      <c r="C180" s="13" t="s">
        <v>212</v>
      </c>
      <c r="D180" s="11">
        <v>55</v>
      </c>
      <c r="E180" s="11">
        <v>1</v>
      </c>
      <c r="F180" s="12">
        <v>1701</v>
      </c>
      <c r="G180" s="5" t="str">
        <f t="shared" si="2"/>
        <v>84</v>
      </c>
      <c r="H180" s="5">
        <v>840104</v>
      </c>
      <c r="I180" s="6" t="str">
        <f>+IFERROR(VLOOKUP(H180,[1]CATALOGO!$B$2:$C$98,2,0),"")</f>
        <v>Maquinarias y Equipos</v>
      </c>
      <c r="J180" s="11">
        <v>2</v>
      </c>
      <c r="K180" s="8">
        <v>-3576.3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</row>
    <row r="181" spans="1:24" ht="56.25" x14ac:dyDescent="0.25">
      <c r="A181" s="5" t="s">
        <v>253</v>
      </c>
      <c r="B181" s="13" t="s">
        <v>211</v>
      </c>
      <c r="C181" s="13" t="s">
        <v>212</v>
      </c>
      <c r="D181" s="11">
        <v>55</v>
      </c>
      <c r="E181" s="11">
        <v>1</v>
      </c>
      <c r="F181" s="12">
        <v>1701</v>
      </c>
      <c r="G181" s="5" t="str">
        <f t="shared" si="2"/>
        <v>84</v>
      </c>
      <c r="H181" s="5">
        <v>840104</v>
      </c>
      <c r="I181" s="6" t="str">
        <f>+IFERROR(VLOOKUP(H181,[1]CATALOGO!$B$2:$C$98,2,0),"")</f>
        <v>Maquinarias y Equipos</v>
      </c>
      <c r="J181" s="11">
        <v>2</v>
      </c>
      <c r="K181" s="8">
        <v>817.69999999999982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</row>
    <row r="182" spans="1:24" ht="33.75" x14ac:dyDescent="0.25">
      <c r="A182" s="5" t="s">
        <v>254</v>
      </c>
      <c r="B182" s="5" t="s">
        <v>28</v>
      </c>
      <c r="C182" s="13" t="s">
        <v>255</v>
      </c>
      <c r="D182" s="11">
        <v>1</v>
      </c>
      <c r="E182" s="11">
        <v>1</v>
      </c>
      <c r="F182" s="12">
        <v>1701</v>
      </c>
      <c r="G182" s="5" t="str">
        <f t="shared" si="2"/>
        <v>53</v>
      </c>
      <c r="H182" s="5">
        <v>530303</v>
      </c>
      <c r="I182" s="6" t="str">
        <f>+IFERROR(VLOOKUP(H182,[1]CATALOGO!$B$2:$C$98,2,0),"")</f>
        <v>Viaticos y Subsistencias en el Interior</v>
      </c>
      <c r="J182" s="6">
        <v>2</v>
      </c>
      <c r="K182" s="8">
        <v>533.96</v>
      </c>
      <c r="L182" s="8">
        <v>1002.69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f>632.69+130+240</f>
        <v>1002.69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</row>
    <row r="183" spans="1:24" ht="33.75" x14ac:dyDescent="0.25">
      <c r="A183" s="5" t="s">
        <v>256</v>
      </c>
      <c r="B183" s="5" t="s">
        <v>28</v>
      </c>
      <c r="C183" s="13" t="s">
        <v>255</v>
      </c>
      <c r="D183" s="5">
        <v>55</v>
      </c>
      <c r="E183" s="11">
        <v>1</v>
      </c>
      <c r="F183" s="12">
        <v>1701</v>
      </c>
      <c r="G183" s="5" t="str">
        <f t="shared" si="2"/>
        <v>53</v>
      </c>
      <c r="H183" s="5">
        <v>530303</v>
      </c>
      <c r="I183" s="6" t="str">
        <f>+IFERROR(VLOOKUP(H183,[1]CATALOGO!$B$2:$C$98,2,0),"")</f>
        <v>Viaticos y Subsistencias en el Interior</v>
      </c>
      <c r="J183" s="6">
        <v>2</v>
      </c>
      <c r="K183" s="8">
        <v>3156.38</v>
      </c>
      <c r="L183" s="8">
        <v>2360.6099999999997</v>
      </c>
      <c r="M183" s="8">
        <v>0</v>
      </c>
      <c r="N183" s="8">
        <v>0</v>
      </c>
      <c r="O183" s="8">
        <v>0</v>
      </c>
      <c r="P183" s="8">
        <f>771.19-464.5</f>
        <v>306.69000000000005</v>
      </c>
      <c r="Q183" s="8">
        <v>0</v>
      </c>
      <c r="R183" s="8">
        <v>0</v>
      </c>
      <c r="S183" s="8">
        <f>602.42+58.51+0.3+222.49</f>
        <v>883.71999999999991</v>
      </c>
      <c r="T183" s="8">
        <v>1170.2</v>
      </c>
      <c r="U183" s="8">
        <v>0</v>
      </c>
      <c r="V183" s="8">
        <v>0</v>
      </c>
      <c r="W183" s="8">
        <v>0</v>
      </c>
      <c r="X183" s="8">
        <v>0</v>
      </c>
    </row>
    <row r="184" spans="1:24" ht="33.75" x14ac:dyDescent="0.25">
      <c r="A184" s="5" t="s">
        <v>257</v>
      </c>
      <c r="B184" s="5" t="s">
        <v>28</v>
      </c>
      <c r="C184" s="13" t="s">
        <v>255</v>
      </c>
      <c r="D184" s="11">
        <v>1</v>
      </c>
      <c r="E184" s="11">
        <v>1</v>
      </c>
      <c r="F184" s="12">
        <v>1701</v>
      </c>
      <c r="G184" s="5" t="str">
        <f t="shared" si="2"/>
        <v>53</v>
      </c>
      <c r="H184" s="5">
        <v>530301</v>
      </c>
      <c r="I184" s="6" t="str">
        <f>+IFERROR(VLOOKUP(H184,[1]CATALOGO!$B$2:$C$98,2,0),"")</f>
        <v>Pasajes al Interior</v>
      </c>
      <c r="J184" s="6">
        <v>2</v>
      </c>
      <c r="K184" s="8">
        <v>-5058.2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</row>
    <row r="185" spans="1:24" ht="90" x14ac:dyDescent="0.25">
      <c r="A185" s="5" t="s">
        <v>258</v>
      </c>
      <c r="B185" s="5" t="s">
        <v>28</v>
      </c>
      <c r="C185" s="13" t="s">
        <v>255</v>
      </c>
      <c r="D185" s="11">
        <v>1</v>
      </c>
      <c r="E185" s="11">
        <v>1</v>
      </c>
      <c r="F185" s="12">
        <v>1701</v>
      </c>
      <c r="G185" s="5" t="str">
        <f t="shared" si="2"/>
        <v>57</v>
      </c>
      <c r="H185" s="5">
        <v>570206</v>
      </c>
      <c r="I185" s="6" t="str">
        <f>+IFERROR(VLOOKUP(H185,[1]CATALOGO!$B$2:$C$98,2,0),"")</f>
        <v>Costas Judiciales Tramites Notariales Legalizacion de Documentos y Arreglos Extrajudiciales</v>
      </c>
      <c r="J185" s="6">
        <v>2</v>
      </c>
      <c r="K185" s="8">
        <v>260</v>
      </c>
      <c r="L185" s="9">
        <v>0</v>
      </c>
      <c r="M185" s="9">
        <v>0</v>
      </c>
      <c r="N185" s="9">
        <v>0</v>
      </c>
      <c r="O185" s="9">
        <v>0</v>
      </c>
      <c r="P185" s="9">
        <v>0</v>
      </c>
      <c r="Q185" s="9">
        <v>0</v>
      </c>
      <c r="R185" s="9">
        <v>0</v>
      </c>
      <c r="S185" s="9">
        <v>0</v>
      </c>
      <c r="T185" s="9">
        <v>0</v>
      </c>
      <c r="U185" s="9">
        <v>0</v>
      </c>
      <c r="V185" s="9">
        <v>0</v>
      </c>
      <c r="W185" s="9">
        <v>0</v>
      </c>
      <c r="X185" s="9">
        <v>0</v>
      </c>
    </row>
    <row r="186" spans="1:24" ht="33.75" x14ac:dyDescent="0.25">
      <c r="A186" s="5" t="s">
        <v>259</v>
      </c>
      <c r="B186" s="5" t="s">
        <v>28</v>
      </c>
      <c r="C186" s="5" t="s">
        <v>29</v>
      </c>
      <c r="D186" s="6">
        <v>1</v>
      </c>
      <c r="E186" s="11">
        <v>1</v>
      </c>
      <c r="F186" s="12">
        <v>1701</v>
      </c>
      <c r="G186" s="5" t="str">
        <f t="shared" si="2"/>
        <v>53</v>
      </c>
      <c r="H186" s="5">
        <v>530255</v>
      </c>
      <c r="I186" s="6" t="str">
        <f>+IFERROR(VLOOKUP(H186,[1]CATALOGO!$B$2:$C$98,2,0),"")</f>
        <v>Combustibles y Lubricantes</v>
      </c>
      <c r="J186" s="6">
        <v>2</v>
      </c>
      <c r="K186" s="8">
        <v>3300</v>
      </c>
      <c r="L186" s="9">
        <v>0</v>
      </c>
      <c r="M186" s="9">
        <v>0</v>
      </c>
      <c r="N186" s="9">
        <v>0</v>
      </c>
      <c r="O186" s="9">
        <v>0</v>
      </c>
      <c r="P186" s="9">
        <v>0</v>
      </c>
      <c r="Q186" s="9">
        <v>0</v>
      </c>
      <c r="R186" s="9">
        <v>0</v>
      </c>
      <c r="S186" s="9">
        <v>0</v>
      </c>
      <c r="T186" s="9">
        <v>0</v>
      </c>
      <c r="U186" s="9">
        <v>0</v>
      </c>
      <c r="V186" s="9">
        <v>0</v>
      </c>
      <c r="W186" s="9">
        <v>0</v>
      </c>
      <c r="X186" s="9">
        <v>0</v>
      </c>
    </row>
    <row r="187" spans="1:24" ht="45" x14ac:dyDescent="0.25">
      <c r="A187" s="5" t="s">
        <v>260</v>
      </c>
      <c r="B187" s="5" t="s">
        <v>28</v>
      </c>
      <c r="C187" s="5" t="s">
        <v>29</v>
      </c>
      <c r="D187" s="6">
        <v>1</v>
      </c>
      <c r="E187" s="11">
        <v>1</v>
      </c>
      <c r="F187" s="12">
        <v>1701</v>
      </c>
      <c r="G187" s="5" t="str">
        <f t="shared" si="2"/>
        <v>53</v>
      </c>
      <c r="H187" s="5">
        <v>530405</v>
      </c>
      <c r="I187" s="6" t="str">
        <f>+IFERROR(VLOOKUP(H187,[1]CATALOGO!$B$2:$C$98,2,0),"")</f>
        <v>Vehiculos (Servicio para Mantenimiento y Reparacion)</v>
      </c>
      <c r="J187" s="6">
        <v>2</v>
      </c>
      <c r="K187" s="8">
        <v>3500</v>
      </c>
      <c r="L187" s="9">
        <v>0</v>
      </c>
      <c r="M187" s="9">
        <v>0</v>
      </c>
      <c r="N187" s="9">
        <v>0</v>
      </c>
      <c r="O187" s="9">
        <v>0</v>
      </c>
      <c r="P187" s="9">
        <v>0</v>
      </c>
      <c r="Q187" s="9">
        <v>0</v>
      </c>
      <c r="R187" s="9">
        <v>0</v>
      </c>
      <c r="S187" s="9">
        <v>0</v>
      </c>
      <c r="T187" s="9">
        <v>0</v>
      </c>
      <c r="U187" s="9">
        <v>0</v>
      </c>
      <c r="V187" s="9">
        <v>0</v>
      </c>
      <c r="W187" s="9">
        <v>0</v>
      </c>
      <c r="X187" s="9">
        <v>0</v>
      </c>
    </row>
    <row r="188" spans="1:24" ht="33.75" x14ac:dyDescent="0.25">
      <c r="A188" s="5" t="s">
        <v>261</v>
      </c>
      <c r="B188" s="5" t="s">
        <v>28</v>
      </c>
      <c r="C188" s="5" t="s">
        <v>29</v>
      </c>
      <c r="D188" s="11">
        <v>1</v>
      </c>
      <c r="E188" s="11">
        <v>1</v>
      </c>
      <c r="F188" s="12">
        <v>1700</v>
      </c>
      <c r="G188" s="5" t="str">
        <f>LEFT(H188,2)</f>
        <v>53</v>
      </c>
      <c r="H188" s="5">
        <v>530301</v>
      </c>
      <c r="I188" s="6" t="str">
        <f>+IFERROR(VLOOKUP(H188,[1]CATALOGO!$B$2:$C$98,2,0),"")</f>
        <v>Pasajes al Interior</v>
      </c>
      <c r="J188" s="6">
        <v>2</v>
      </c>
      <c r="K188" s="8">
        <v>2940</v>
      </c>
      <c r="L188" s="8">
        <v>1737.02</v>
      </c>
      <c r="M188" s="8">
        <v>0</v>
      </c>
      <c r="N188" s="8">
        <v>1737.02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</row>
    <row r="189" spans="1:24" ht="90" x14ac:dyDescent="0.25">
      <c r="A189" s="5" t="s">
        <v>262</v>
      </c>
      <c r="B189" s="5" t="s">
        <v>28</v>
      </c>
      <c r="C189" s="5" t="s">
        <v>29</v>
      </c>
      <c r="D189" s="7">
        <v>1</v>
      </c>
      <c r="E189" s="11">
        <v>1</v>
      </c>
      <c r="F189" s="12">
        <v>1700</v>
      </c>
      <c r="G189" s="5" t="str">
        <f t="shared" si="2"/>
        <v>53</v>
      </c>
      <c r="H189" s="5">
        <v>530246</v>
      </c>
      <c r="I189" s="6" t="str">
        <f>+IFERROR(VLOOKUP(H189,[1]CATALOGO!$B$2:$C$98,2,0),"")</f>
        <v>Servicios de Identificacion- Marcacion- Autentificacion- Rastreo- Monitoreo- Seguimiento y-o Trazabilidad</v>
      </c>
      <c r="J189" s="7">
        <v>2</v>
      </c>
      <c r="K189" s="8">
        <v>-3190</v>
      </c>
      <c r="L189" s="9">
        <v>0</v>
      </c>
      <c r="M189" s="9">
        <v>0</v>
      </c>
      <c r="N189" s="9">
        <v>0</v>
      </c>
      <c r="O189" s="9">
        <v>0</v>
      </c>
      <c r="P189" s="9">
        <v>0</v>
      </c>
      <c r="Q189" s="9">
        <v>0</v>
      </c>
      <c r="R189" s="9">
        <v>0</v>
      </c>
      <c r="S189" s="9">
        <v>0</v>
      </c>
      <c r="T189" s="9">
        <v>0</v>
      </c>
      <c r="U189" s="9">
        <v>0</v>
      </c>
      <c r="V189" s="9">
        <v>0</v>
      </c>
      <c r="W189" s="9">
        <v>0</v>
      </c>
      <c r="X189" s="9">
        <v>0</v>
      </c>
    </row>
    <row r="190" spans="1:24" ht="33.75" x14ac:dyDescent="0.25">
      <c r="A190" s="5" t="s">
        <v>263</v>
      </c>
      <c r="B190" s="5" t="s">
        <v>28</v>
      </c>
      <c r="C190" s="5" t="s">
        <v>29</v>
      </c>
      <c r="D190" s="6">
        <v>1</v>
      </c>
      <c r="E190" s="11">
        <v>1</v>
      </c>
      <c r="F190" s="12">
        <v>1700</v>
      </c>
      <c r="G190" s="5" t="str">
        <f t="shared" si="2"/>
        <v>53</v>
      </c>
      <c r="H190" s="5">
        <v>530208</v>
      </c>
      <c r="I190" s="6" t="str">
        <f>+IFERROR(VLOOKUP(H190,[1]CATALOGO!$B$2:$C$98,2,0),"")</f>
        <v>Servicio de Seguridad y Vigilancia</v>
      </c>
      <c r="J190" s="6">
        <v>2</v>
      </c>
      <c r="K190" s="8">
        <v>8294.5499999999993</v>
      </c>
      <c r="L190" s="9">
        <v>0</v>
      </c>
      <c r="M190" s="9">
        <v>0</v>
      </c>
      <c r="N190" s="9">
        <v>0</v>
      </c>
      <c r="O190" s="9">
        <v>0</v>
      </c>
      <c r="P190" s="9">
        <v>0</v>
      </c>
      <c r="Q190" s="9">
        <v>0</v>
      </c>
      <c r="R190" s="9">
        <v>0</v>
      </c>
      <c r="S190" s="9">
        <v>0</v>
      </c>
      <c r="T190" s="9">
        <v>0</v>
      </c>
      <c r="U190" s="9">
        <v>0</v>
      </c>
      <c r="V190" s="9">
        <v>0</v>
      </c>
      <c r="W190" s="9">
        <v>0</v>
      </c>
      <c r="X190" s="9">
        <v>0</v>
      </c>
    </row>
    <row r="191" spans="1:24" ht="168.75" x14ac:dyDescent="0.25">
      <c r="A191" s="5" t="s">
        <v>264</v>
      </c>
      <c r="B191" s="5" t="s">
        <v>28</v>
      </c>
      <c r="C191" s="5" t="s">
        <v>29</v>
      </c>
      <c r="D191" s="7">
        <v>1</v>
      </c>
      <c r="E191" s="11">
        <v>1</v>
      </c>
      <c r="F191" s="12">
        <v>1700</v>
      </c>
      <c r="G191" s="5" t="str">
        <f t="shared" si="2"/>
        <v>53</v>
      </c>
      <c r="H191" s="5">
        <v>530209</v>
      </c>
      <c r="I191" s="6" t="str">
        <f>+IFERROR(VLOOKUP(H191,[1]CATALOGO!$B$2:$C$98,2,0),"")</f>
        <v>Servicios de Aseo -Lavado de Vestimenta de Trabajo- Fumigacion -Desinfeccion Limpieza de Instalaciones manejo de desechos contaminados recuperacion y clasificacion de materiales reciclables</v>
      </c>
      <c r="J191" s="7">
        <v>2</v>
      </c>
      <c r="K191" s="8">
        <v>6250.99</v>
      </c>
      <c r="L191" s="9">
        <v>0</v>
      </c>
      <c r="M191" s="9">
        <v>0</v>
      </c>
      <c r="N191" s="9">
        <v>0</v>
      </c>
      <c r="O191" s="9">
        <v>0</v>
      </c>
      <c r="P191" s="9">
        <v>0</v>
      </c>
      <c r="Q191" s="9">
        <v>0</v>
      </c>
      <c r="R191" s="9">
        <v>0</v>
      </c>
      <c r="S191" s="9">
        <v>0</v>
      </c>
      <c r="T191" s="9">
        <v>0</v>
      </c>
      <c r="U191" s="9">
        <v>0</v>
      </c>
      <c r="V191" s="9">
        <v>0</v>
      </c>
      <c r="W191" s="9">
        <v>0</v>
      </c>
      <c r="X191" s="9">
        <v>0</v>
      </c>
    </row>
    <row r="192" spans="1:24" ht="33.75" x14ac:dyDescent="0.25">
      <c r="A192" s="5" t="s">
        <v>265</v>
      </c>
      <c r="B192" s="5" t="s">
        <v>28</v>
      </c>
      <c r="C192" s="5" t="s">
        <v>29</v>
      </c>
      <c r="D192" s="7">
        <v>1</v>
      </c>
      <c r="E192" s="11">
        <v>1</v>
      </c>
      <c r="F192" s="12">
        <v>1700</v>
      </c>
      <c r="G192" s="5" t="str">
        <f t="shared" si="2"/>
        <v>53</v>
      </c>
      <c r="H192" s="5">
        <v>530104</v>
      </c>
      <c r="I192" s="6" t="str">
        <f>+IFERROR(VLOOKUP(H192,[1]CATALOGO!$B$2:$C$98,2,0),"")</f>
        <v>Energia Electrica</v>
      </c>
      <c r="J192" s="7">
        <v>2</v>
      </c>
      <c r="K192" s="8">
        <v>1390</v>
      </c>
      <c r="L192" s="9">
        <v>0</v>
      </c>
      <c r="M192" s="9">
        <v>0</v>
      </c>
      <c r="N192" s="9">
        <v>0</v>
      </c>
      <c r="O192" s="9">
        <v>0</v>
      </c>
      <c r="P192" s="9">
        <v>0</v>
      </c>
      <c r="Q192" s="9">
        <v>0</v>
      </c>
      <c r="R192" s="9">
        <v>0</v>
      </c>
      <c r="S192" s="9">
        <v>0</v>
      </c>
      <c r="T192" s="9">
        <v>0</v>
      </c>
      <c r="U192" s="9">
        <v>0</v>
      </c>
      <c r="V192" s="9">
        <v>0</v>
      </c>
      <c r="W192" s="9">
        <v>0</v>
      </c>
      <c r="X192" s="9">
        <v>0</v>
      </c>
    </row>
    <row r="193" spans="1:24" ht="33.75" x14ac:dyDescent="0.25">
      <c r="A193" s="5" t="s">
        <v>266</v>
      </c>
      <c r="B193" s="5" t="s">
        <v>28</v>
      </c>
      <c r="C193" s="5" t="s">
        <v>29</v>
      </c>
      <c r="D193" s="5">
        <v>1</v>
      </c>
      <c r="E193" s="11">
        <v>1</v>
      </c>
      <c r="F193" s="12">
        <v>1700</v>
      </c>
      <c r="G193" s="5" t="s">
        <v>267</v>
      </c>
      <c r="H193" s="5">
        <v>530101</v>
      </c>
      <c r="I193" s="6" t="str">
        <f>+IFERROR(VLOOKUP(H193,[1]CATALOGO!$B$2:$C$98,2,0),"")</f>
        <v>Agua Potable</v>
      </c>
      <c r="J193" s="5">
        <v>2</v>
      </c>
      <c r="K193" s="8">
        <v>-11644.55</v>
      </c>
      <c r="L193" s="8">
        <v>38.03</v>
      </c>
      <c r="M193" s="8">
        <v>38.03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</row>
    <row r="194" spans="1:24" ht="33.75" x14ac:dyDescent="0.25">
      <c r="A194" s="5" t="s">
        <v>268</v>
      </c>
      <c r="B194" s="5" t="s">
        <v>28</v>
      </c>
      <c r="C194" s="5" t="s">
        <v>29</v>
      </c>
      <c r="D194" s="6">
        <v>1</v>
      </c>
      <c r="E194" s="11">
        <v>1</v>
      </c>
      <c r="F194" s="12">
        <v>1700</v>
      </c>
      <c r="G194" s="5" t="str">
        <f t="shared" si="2"/>
        <v>53</v>
      </c>
      <c r="H194" s="5">
        <v>530105</v>
      </c>
      <c r="I194" s="6" t="str">
        <f>+IFERROR(VLOOKUP(H194,[1]CATALOGO!$B$2:$C$98,2,0),"")</f>
        <v>Telecomunicaciones</v>
      </c>
      <c r="J194" s="6">
        <v>2</v>
      </c>
      <c r="K194" s="8">
        <v>-6010.99</v>
      </c>
      <c r="L194" s="8">
        <v>209.27</v>
      </c>
      <c r="M194" s="8">
        <v>209.27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</row>
    <row r="195" spans="1:24" ht="90" x14ac:dyDescent="0.25">
      <c r="A195" s="5" t="s">
        <v>269</v>
      </c>
      <c r="B195" s="5" t="s">
        <v>28</v>
      </c>
      <c r="C195" s="5" t="s">
        <v>29</v>
      </c>
      <c r="D195" s="7">
        <v>1</v>
      </c>
      <c r="E195" s="11">
        <v>1</v>
      </c>
      <c r="F195" s="12">
        <v>1701</v>
      </c>
      <c r="G195" s="5" t="str">
        <f t="shared" si="2"/>
        <v>53</v>
      </c>
      <c r="H195" s="5">
        <v>530402</v>
      </c>
      <c r="I195" s="6" t="str">
        <f>+IFERROR(VLOOKUP(H195,[1]CATALOGO!$B$2:$C$98,2,0),"")</f>
        <v>Edificios- Locales- Residencias y Cableado Estructurado (Instalacion - Mantenimiento y Reparacion)</v>
      </c>
      <c r="J195" s="7">
        <v>2</v>
      </c>
      <c r="K195" s="8">
        <v>1700</v>
      </c>
      <c r="L195" s="9">
        <v>0</v>
      </c>
      <c r="M195" s="9">
        <v>0</v>
      </c>
      <c r="N195" s="9">
        <v>0</v>
      </c>
      <c r="O195" s="9">
        <v>0</v>
      </c>
      <c r="P195" s="9">
        <v>0</v>
      </c>
      <c r="Q195" s="9">
        <v>0</v>
      </c>
      <c r="R195" s="9">
        <v>0</v>
      </c>
      <c r="S195" s="9">
        <v>0</v>
      </c>
      <c r="T195" s="9">
        <v>0</v>
      </c>
      <c r="U195" s="9">
        <v>0</v>
      </c>
      <c r="V195" s="9">
        <v>0</v>
      </c>
      <c r="W195" s="9">
        <v>0</v>
      </c>
      <c r="X195" s="9">
        <v>0</v>
      </c>
    </row>
    <row r="196" spans="1:24" ht="78.75" x14ac:dyDescent="0.25">
      <c r="A196" s="5" t="s">
        <v>270</v>
      </c>
      <c r="B196" s="5" t="s">
        <v>44</v>
      </c>
      <c r="C196" s="5" t="s">
        <v>45</v>
      </c>
      <c r="D196" s="11">
        <v>1</v>
      </c>
      <c r="E196" s="11">
        <v>1</v>
      </c>
      <c r="F196" s="12">
        <v>1701</v>
      </c>
      <c r="G196" s="5" t="str">
        <f t="shared" si="2"/>
        <v>53</v>
      </c>
      <c r="H196" s="5">
        <v>530701</v>
      </c>
      <c r="I196" s="6" t="str">
        <f>+IFERROR(VLOOKUP(H196,[1]CATALOGO!$B$2:$C$98,2,0),"")</f>
        <v>Desarrollo, Actualización, Asistencia Técnica y Soporte de Sistemas Informáticos</v>
      </c>
      <c r="J196" s="11">
        <v>2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</row>
    <row r="197" spans="1:24" ht="78.75" x14ac:dyDescent="0.25">
      <c r="A197" s="5" t="s">
        <v>271</v>
      </c>
      <c r="B197" s="5" t="s">
        <v>44</v>
      </c>
      <c r="C197" s="5" t="s">
        <v>45</v>
      </c>
      <c r="D197" s="11">
        <v>1</v>
      </c>
      <c r="E197" s="11">
        <v>1</v>
      </c>
      <c r="F197" s="12">
        <v>1701</v>
      </c>
      <c r="G197" s="5" t="str">
        <f t="shared" si="2"/>
        <v>53</v>
      </c>
      <c r="H197" s="5">
        <v>530701</v>
      </c>
      <c r="I197" s="6" t="str">
        <f>+IFERROR(VLOOKUP(H197,[1]CATALOGO!$B$2:$C$98,2,0),"")</f>
        <v>Desarrollo, Actualización, Asistencia Técnica y Soporte de Sistemas Informáticos</v>
      </c>
      <c r="J197" s="11">
        <v>2</v>
      </c>
      <c r="K197" s="8">
        <v>0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</row>
    <row r="198" spans="1:24" ht="33.75" x14ac:dyDescent="0.25">
      <c r="A198" s="5" t="s">
        <v>272</v>
      </c>
      <c r="B198" s="5" t="s">
        <v>28</v>
      </c>
      <c r="C198" s="5" t="s">
        <v>29</v>
      </c>
      <c r="D198" s="11">
        <v>1</v>
      </c>
      <c r="E198" s="11">
        <v>1</v>
      </c>
      <c r="F198" s="12">
        <v>1701</v>
      </c>
      <c r="G198" s="5" t="str">
        <f>LEFT(H198,2)</f>
        <v>53</v>
      </c>
      <c r="H198" s="5">
        <v>530104</v>
      </c>
      <c r="I198" s="6" t="str">
        <f>+IFERROR(VLOOKUP(H198,[1]CATALOGO!$B$2:$C$98,2,0),"")</f>
        <v>Energia Electrica</v>
      </c>
      <c r="J198" s="11">
        <v>2</v>
      </c>
      <c r="K198" s="8">
        <v>-3200</v>
      </c>
      <c r="L198" s="8">
        <v>19992.29</v>
      </c>
      <c r="M198" s="8"/>
      <c r="N198" s="8">
        <v>1803.47</v>
      </c>
      <c r="O198" s="8">
        <v>1714.91</v>
      </c>
      <c r="P198" s="8">
        <v>1840.42</v>
      </c>
      <c r="Q198" s="8">
        <v>1879.96</v>
      </c>
      <c r="R198" s="8">
        <v>1967.1</v>
      </c>
      <c r="S198" s="8">
        <v>1775.71</v>
      </c>
      <c r="T198" s="8">
        <v>1958.13</v>
      </c>
      <c r="U198" s="8">
        <v>1893.18</v>
      </c>
      <c r="V198" s="8">
        <v>1925.07</v>
      </c>
      <c r="W198" s="8">
        <v>1654.31</v>
      </c>
      <c r="X198" s="8">
        <v>1580.03</v>
      </c>
    </row>
    <row r="199" spans="1:24" ht="33.75" x14ac:dyDescent="0.25">
      <c r="A199" s="5" t="s">
        <v>273</v>
      </c>
      <c r="B199" s="5" t="s">
        <v>28</v>
      </c>
      <c r="C199" s="5" t="s">
        <v>29</v>
      </c>
      <c r="D199" s="11">
        <v>1</v>
      </c>
      <c r="E199" s="11">
        <v>1</v>
      </c>
      <c r="F199" s="12">
        <v>1701</v>
      </c>
      <c r="G199" s="5" t="str">
        <f>LEFT(H199,2)</f>
        <v>53</v>
      </c>
      <c r="H199" s="5">
        <v>530104</v>
      </c>
      <c r="I199" s="6" t="str">
        <f>+IFERROR(VLOOKUP(H199,[1]CATALOGO!$B$2:$C$98,2,0),"")</f>
        <v>Energia Electrica</v>
      </c>
      <c r="J199" s="11">
        <v>2</v>
      </c>
      <c r="K199" s="8">
        <v>176675.3</v>
      </c>
      <c r="L199" s="8">
        <v>1627.61</v>
      </c>
      <c r="M199" s="8"/>
      <c r="N199" s="8">
        <v>1627.61</v>
      </c>
      <c r="O199" s="8"/>
      <c r="P199" s="8"/>
      <c r="Q199" s="8"/>
      <c r="R199" s="8"/>
      <c r="S199" s="8"/>
      <c r="T199" s="8"/>
      <c r="U199" s="8"/>
      <c r="V199" s="8"/>
      <c r="W199" s="8"/>
      <c r="X199" s="8"/>
    </row>
    <row r="200" spans="1:24" ht="78.75" x14ac:dyDescent="0.25">
      <c r="A200" s="5" t="s">
        <v>274</v>
      </c>
      <c r="B200" s="5" t="s">
        <v>28</v>
      </c>
      <c r="C200" s="5" t="s">
        <v>29</v>
      </c>
      <c r="D200" s="11">
        <v>1</v>
      </c>
      <c r="E200" s="11">
        <v>1</v>
      </c>
      <c r="F200" s="12">
        <v>1701</v>
      </c>
      <c r="G200" s="5" t="str">
        <f>LEFT(H200,2)</f>
        <v>53</v>
      </c>
      <c r="H200" s="5">
        <v>530203</v>
      </c>
      <c r="I200" s="6" t="str">
        <f>+IFERROR(VLOOKUP(H200,[1]CATALOGO!$B$2:$C$98,2,0),"")</f>
        <v>Almacenamiento - Embalaje - Desembalaje Envase Desenvase y Recarga de Extintores</v>
      </c>
      <c r="J200" s="11">
        <v>2</v>
      </c>
      <c r="K200" s="8">
        <v>154174.21999999997</v>
      </c>
      <c r="L200" s="8">
        <v>375.8</v>
      </c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>
        <v>375.8</v>
      </c>
    </row>
    <row r="201" spans="1:24" ht="33.75" x14ac:dyDescent="0.25">
      <c r="A201" s="5" t="s">
        <v>275</v>
      </c>
      <c r="B201" s="5" t="s">
        <v>28</v>
      </c>
      <c r="C201" s="5" t="s">
        <v>29</v>
      </c>
      <c r="D201" s="11">
        <v>1</v>
      </c>
      <c r="E201" s="11">
        <v>1</v>
      </c>
      <c r="F201" s="12">
        <v>1701</v>
      </c>
      <c r="G201" s="5" t="str">
        <f>LEFT(H201,2)</f>
        <v>53</v>
      </c>
      <c r="H201" s="5">
        <v>530301</v>
      </c>
      <c r="I201" s="6" t="str">
        <f>+IFERROR(VLOOKUP(H201,[1]CATALOGO!$B$2:$C$98,2,0),"")</f>
        <v>Pasajes al Interior</v>
      </c>
      <c r="J201" s="11">
        <v>2</v>
      </c>
      <c r="K201" s="8">
        <v>23627.61</v>
      </c>
      <c r="L201" s="8">
        <v>32917.149999999994</v>
      </c>
      <c r="M201" s="8"/>
      <c r="N201" s="8"/>
      <c r="O201" s="8"/>
      <c r="P201" s="8"/>
      <c r="Q201" s="8"/>
      <c r="R201" s="8"/>
      <c r="S201" s="8">
        <v>8085.65</v>
      </c>
      <c r="T201" s="8">
        <v>5434.880000000001</v>
      </c>
      <c r="U201" s="8">
        <v>2682.1100000000006</v>
      </c>
      <c r="V201" s="8">
        <v>6646.869999999999</v>
      </c>
      <c r="W201" s="8">
        <v>7512.429999999993</v>
      </c>
      <c r="X201" s="8">
        <v>2555.21</v>
      </c>
    </row>
    <row r="202" spans="1:24" ht="33.75" x14ac:dyDescent="0.25">
      <c r="A202" s="5" t="s">
        <v>276</v>
      </c>
      <c r="B202" s="5" t="s">
        <v>28</v>
      </c>
      <c r="C202" s="5" t="s">
        <v>29</v>
      </c>
      <c r="D202" s="11">
        <v>1</v>
      </c>
      <c r="E202" s="11">
        <v>1</v>
      </c>
      <c r="F202" s="12">
        <v>1701</v>
      </c>
      <c r="G202" s="5" t="str">
        <f>LEFT(H202,2)</f>
        <v>53</v>
      </c>
      <c r="H202" s="5">
        <v>530302</v>
      </c>
      <c r="I202" s="6" t="str">
        <f>+IFERROR(VLOOKUP(H202,[1]CATALOGO!$B$2:$C$98,2,0),"")</f>
        <v>Pasajes al Exterior</v>
      </c>
      <c r="J202" s="11">
        <v>2</v>
      </c>
      <c r="K202" s="8">
        <v>1627.61</v>
      </c>
      <c r="L202" s="8">
        <v>4589.91</v>
      </c>
      <c r="M202" s="8"/>
      <c r="N202" s="8"/>
      <c r="O202" s="8"/>
      <c r="P202" s="8"/>
      <c r="Q202" s="8"/>
      <c r="R202" s="8"/>
      <c r="S202" s="8"/>
      <c r="T202" s="8"/>
      <c r="U202" s="8"/>
      <c r="V202" s="8">
        <v>2884.06</v>
      </c>
      <c r="W202" s="8"/>
      <c r="X202" s="8">
        <v>1705.85</v>
      </c>
    </row>
    <row r="203" spans="1:24" ht="90" x14ac:dyDescent="0.25">
      <c r="A203" s="5" t="s">
        <v>277</v>
      </c>
      <c r="B203" s="5" t="s">
        <v>28</v>
      </c>
      <c r="C203" s="5" t="s">
        <v>29</v>
      </c>
      <c r="D203" s="11">
        <v>1</v>
      </c>
      <c r="E203" s="11">
        <v>1</v>
      </c>
      <c r="F203" s="12">
        <v>1701</v>
      </c>
      <c r="G203" s="5" t="str">
        <f t="shared" ref="G203:G266" si="3">LEFT(H203,2)</f>
        <v>53</v>
      </c>
      <c r="H203" s="5">
        <v>530402</v>
      </c>
      <c r="I203" s="6" t="str">
        <f>+IFERROR(VLOOKUP(H203,[1]CATALOGO!$B$2:$C$98,2,0),"")</f>
        <v>Edificios- Locales- Residencias y Cableado Estructurado (Instalacion - Mantenimiento y Reparacion)</v>
      </c>
      <c r="J203" s="11">
        <v>2</v>
      </c>
      <c r="K203" s="8">
        <v>2000</v>
      </c>
      <c r="L203" s="8">
        <v>0</v>
      </c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</row>
    <row r="204" spans="1:24" ht="90" x14ac:dyDescent="0.25">
      <c r="A204" s="5" t="s">
        <v>278</v>
      </c>
      <c r="B204" s="5" t="s">
        <v>28</v>
      </c>
      <c r="C204" s="5" t="s">
        <v>29</v>
      </c>
      <c r="D204" s="11">
        <v>1</v>
      </c>
      <c r="E204" s="11">
        <v>1</v>
      </c>
      <c r="F204" s="12">
        <v>1701</v>
      </c>
      <c r="G204" s="5" t="str">
        <f t="shared" si="3"/>
        <v>53</v>
      </c>
      <c r="H204" s="5">
        <v>530402</v>
      </c>
      <c r="I204" s="6" t="str">
        <f>+IFERROR(VLOOKUP(H204,[1]CATALOGO!$B$2:$C$98,2,0),"")</f>
        <v>Edificios- Locales- Residencias y Cableado Estructurado (Instalacion - Mantenimiento y Reparacion)</v>
      </c>
      <c r="J204" s="11">
        <v>2</v>
      </c>
      <c r="K204" s="8">
        <v>57716.55</v>
      </c>
      <c r="L204" s="8">
        <v>4854</v>
      </c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>
        <v>4854</v>
      </c>
      <c r="X204" s="8"/>
    </row>
    <row r="205" spans="1:24" ht="90" x14ac:dyDescent="0.25">
      <c r="A205" s="5" t="s">
        <v>279</v>
      </c>
      <c r="B205" s="5" t="s">
        <v>28</v>
      </c>
      <c r="C205" s="5" t="s">
        <v>29</v>
      </c>
      <c r="D205" s="11">
        <v>1</v>
      </c>
      <c r="E205" s="11">
        <v>1</v>
      </c>
      <c r="F205" s="12">
        <v>1701</v>
      </c>
      <c r="G205" s="5" t="str">
        <f t="shared" si="3"/>
        <v>53</v>
      </c>
      <c r="H205" s="5">
        <v>530402</v>
      </c>
      <c r="I205" s="6" t="str">
        <f>+IFERROR(VLOOKUP(H205,[1]CATALOGO!$B$2:$C$98,2,0),"")</f>
        <v>Edificios- Locales- Residencias y Cableado Estructurado (Instalacion - Mantenimiento y Reparacion)</v>
      </c>
      <c r="J205" s="11">
        <v>2</v>
      </c>
      <c r="K205" s="8">
        <v>7000</v>
      </c>
      <c r="L205" s="9">
        <v>0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</row>
    <row r="206" spans="1:24" ht="90" x14ac:dyDescent="0.25">
      <c r="A206" s="5" t="s">
        <v>280</v>
      </c>
      <c r="B206" s="5" t="s">
        <v>44</v>
      </c>
      <c r="C206" s="5" t="s">
        <v>45</v>
      </c>
      <c r="D206" s="11">
        <v>1</v>
      </c>
      <c r="E206" s="11">
        <v>1</v>
      </c>
      <c r="F206" s="12">
        <v>1701</v>
      </c>
      <c r="G206" s="5" t="str">
        <f t="shared" si="3"/>
        <v>53</v>
      </c>
      <c r="H206" s="5">
        <v>530402</v>
      </c>
      <c r="I206" s="6" t="str">
        <f>+IFERROR(VLOOKUP(H206,[1]CATALOGO!$B$2:$C$98,2,0),"")</f>
        <v>Edificios- Locales- Residencias y Cableado Estructurado (Instalacion - Mantenimiento y Reparacion)</v>
      </c>
      <c r="J206" s="11">
        <v>2</v>
      </c>
      <c r="K206" s="8">
        <v>0</v>
      </c>
      <c r="L206" s="8">
        <v>0</v>
      </c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</row>
    <row r="207" spans="1:24" ht="90" x14ac:dyDescent="0.25">
      <c r="A207" s="5" t="s">
        <v>281</v>
      </c>
      <c r="B207" s="5" t="s">
        <v>44</v>
      </c>
      <c r="C207" s="5" t="s">
        <v>45</v>
      </c>
      <c r="D207" s="11">
        <v>1</v>
      </c>
      <c r="E207" s="11">
        <v>1</v>
      </c>
      <c r="F207" s="12">
        <v>1701</v>
      </c>
      <c r="G207" s="5" t="str">
        <f t="shared" si="3"/>
        <v>53</v>
      </c>
      <c r="H207" s="5">
        <v>530402</v>
      </c>
      <c r="I207" s="6" t="str">
        <f>+IFERROR(VLOOKUP(H207,[1]CATALOGO!$B$2:$C$98,2,0),"")</f>
        <v>Edificios- Locales- Residencias y Cableado Estructurado (Instalacion - Mantenimiento y Reparacion)</v>
      </c>
      <c r="J207" s="11">
        <v>2</v>
      </c>
      <c r="K207" s="8">
        <v>7134</v>
      </c>
      <c r="L207" s="8">
        <v>0</v>
      </c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</row>
    <row r="208" spans="1:24" ht="90" x14ac:dyDescent="0.25">
      <c r="A208" s="5" t="s">
        <v>282</v>
      </c>
      <c r="B208" s="5" t="s">
        <v>28</v>
      </c>
      <c r="C208" s="5" t="s">
        <v>29</v>
      </c>
      <c r="D208" s="11">
        <v>1</v>
      </c>
      <c r="E208" s="11">
        <v>1</v>
      </c>
      <c r="F208" s="12">
        <v>1701</v>
      </c>
      <c r="G208" s="5" t="str">
        <f t="shared" si="3"/>
        <v>53</v>
      </c>
      <c r="H208" s="5">
        <v>530402</v>
      </c>
      <c r="I208" s="6" t="str">
        <f>+IFERROR(VLOOKUP(H208,[1]CATALOGO!$B$2:$C$98,2,0),"")</f>
        <v>Edificios- Locales- Residencias y Cableado Estructurado (Instalacion - Mantenimiento y Reparacion)</v>
      </c>
      <c r="J208" s="11">
        <v>2</v>
      </c>
      <c r="K208" s="8">
        <v>0</v>
      </c>
      <c r="L208" s="8">
        <v>0</v>
      </c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</row>
    <row r="209" spans="1:24" ht="90" x14ac:dyDescent="0.25">
      <c r="A209" s="5" t="s">
        <v>283</v>
      </c>
      <c r="B209" s="5" t="s">
        <v>44</v>
      </c>
      <c r="C209" s="5" t="s">
        <v>45</v>
      </c>
      <c r="D209" s="11">
        <v>1</v>
      </c>
      <c r="E209" s="11">
        <v>1</v>
      </c>
      <c r="F209" s="12">
        <v>1701</v>
      </c>
      <c r="G209" s="5" t="str">
        <f t="shared" si="3"/>
        <v>53</v>
      </c>
      <c r="H209" s="5">
        <v>530402</v>
      </c>
      <c r="I209" s="6" t="str">
        <f>+IFERROR(VLOOKUP(H209,[1]CATALOGO!$B$2:$C$98,2,0),"")</f>
        <v>Edificios- Locales- Residencias y Cableado Estructurado (Instalacion - Mantenimiento y Reparacion)</v>
      </c>
      <c r="J209" s="11">
        <v>2</v>
      </c>
      <c r="K209" s="8">
        <v>6500</v>
      </c>
      <c r="L209" s="8">
        <v>0</v>
      </c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</row>
    <row r="210" spans="1:24" ht="90" x14ac:dyDescent="0.25">
      <c r="A210" s="5" t="s">
        <v>284</v>
      </c>
      <c r="B210" s="5" t="s">
        <v>28</v>
      </c>
      <c r="C210" s="5" t="s">
        <v>29</v>
      </c>
      <c r="D210" s="11">
        <v>1</v>
      </c>
      <c r="E210" s="11">
        <v>1</v>
      </c>
      <c r="F210" s="12">
        <v>1701</v>
      </c>
      <c r="G210" s="5" t="str">
        <f t="shared" si="3"/>
        <v>53</v>
      </c>
      <c r="H210" s="5">
        <v>530402</v>
      </c>
      <c r="I210" s="6" t="str">
        <f>+IFERROR(VLOOKUP(H210,[1]CATALOGO!$B$2:$C$98,2,0),"")</f>
        <v>Edificios- Locales- Residencias y Cableado Estructurado (Instalacion - Mantenimiento y Reparacion)</v>
      </c>
      <c r="J210" s="11">
        <v>2</v>
      </c>
      <c r="K210" s="8">
        <v>5950</v>
      </c>
      <c r="L210" s="8">
        <v>0</v>
      </c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</row>
    <row r="211" spans="1:24" ht="90" x14ac:dyDescent="0.25">
      <c r="A211" s="5" t="s">
        <v>285</v>
      </c>
      <c r="B211" s="5" t="s">
        <v>44</v>
      </c>
      <c r="C211" s="5" t="s">
        <v>45</v>
      </c>
      <c r="D211" s="11">
        <v>1</v>
      </c>
      <c r="E211" s="11">
        <v>1</v>
      </c>
      <c r="F211" s="12">
        <v>1701</v>
      </c>
      <c r="G211" s="5" t="str">
        <f t="shared" si="3"/>
        <v>53</v>
      </c>
      <c r="H211" s="5">
        <v>530402</v>
      </c>
      <c r="I211" s="6" t="str">
        <f>+IFERROR(VLOOKUP(H211,[1]CATALOGO!$B$2:$C$98,2,0),"")</f>
        <v>Edificios- Locales- Residencias y Cableado Estructurado (Instalacion - Mantenimiento y Reparacion)</v>
      </c>
      <c r="J211" s="11">
        <v>2</v>
      </c>
      <c r="K211" s="8">
        <v>0</v>
      </c>
      <c r="L211" s="8">
        <v>0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</row>
    <row r="212" spans="1:24" ht="90" x14ac:dyDescent="0.25">
      <c r="A212" s="5" t="s">
        <v>286</v>
      </c>
      <c r="B212" s="5" t="s">
        <v>44</v>
      </c>
      <c r="C212" s="5" t="s">
        <v>45</v>
      </c>
      <c r="D212" s="11">
        <v>1</v>
      </c>
      <c r="E212" s="11">
        <v>1</v>
      </c>
      <c r="F212" s="12">
        <v>1701</v>
      </c>
      <c r="G212" s="5" t="str">
        <f t="shared" si="3"/>
        <v>53</v>
      </c>
      <c r="H212" s="5">
        <v>530402</v>
      </c>
      <c r="I212" s="6" t="str">
        <f>+IFERROR(VLOOKUP(H212,[1]CATALOGO!$B$2:$C$98,2,0),"")</f>
        <v>Edificios- Locales- Residencias y Cableado Estructurado (Instalacion - Mantenimiento y Reparacion)</v>
      </c>
      <c r="J212" s="11">
        <v>2</v>
      </c>
      <c r="K212" s="8">
        <v>7200</v>
      </c>
      <c r="L212" s="8">
        <v>0</v>
      </c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</row>
    <row r="213" spans="1:24" ht="90" x14ac:dyDescent="0.25">
      <c r="A213" s="5" t="s">
        <v>287</v>
      </c>
      <c r="B213" s="5" t="s">
        <v>28</v>
      </c>
      <c r="C213" s="5" t="s">
        <v>29</v>
      </c>
      <c r="D213" s="11">
        <v>1</v>
      </c>
      <c r="E213" s="11">
        <v>1</v>
      </c>
      <c r="F213" s="12">
        <v>1701</v>
      </c>
      <c r="G213" s="5" t="str">
        <f t="shared" si="3"/>
        <v>53</v>
      </c>
      <c r="H213" s="5">
        <v>530402</v>
      </c>
      <c r="I213" s="6" t="str">
        <f>+IFERROR(VLOOKUP(H213,[1]CATALOGO!$B$2:$C$98,2,0),"")</f>
        <v>Edificios- Locales- Residencias y Cableado Estructurado (Instalacion - Mantenimiento y Reparacion)</v>
      </c>
      <c r="J213" s="11">
        <v>2</v>
      </c>
      <c r="K213" s="8">
        <v>4640</v>
      </c>
      <c r="L213" s="8">
        <v>9779.93</v>
      </c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>
        <v>9779.93</v>
      </c>
    </row>
    <row r="214" spans="1:24" ht="90" x14ac:dyDescent="0.25">
      <c r="A214" s="5" t="s">
        <v>288</v>
      </c>
      <c r="B214" s="5" t="s">
        <v>44</v>
      </c>
      <c r="C214" s="5" t="s">
        <v>45</v>
      </c>
      <c r="D214" s="11">
        <v>1</v>
      </c>
      <c r="E214" s="11">
        <v>1</v>
      </c>
      <c r="F214" s="12">
        <v>1701</v>
      </c>
      <c r="G214" s="5" t="str">
        <f t="shared" si="3"/>
        <v>53</v>
      </c>
      <c r="H214" s="5">
        <v>530402</v>
      </c>
      <c r="I214" s="6" t="str">
        <f>+IFERROR(VLOOKUP(H214,[1]CATALOGO!$B$2:$C$98,2,0),"")</f>
        <v>Edificios- Locales- Residencias y Cableado Estructurado (Instalacion - Mantenimiento y Reparacion)</v>
      </c>
      <c r="J214" s="11">
        <v>2</v>
      </c>
      <c r="K214" s="8">
        <v>7200</v>
      </c>
      <c r="L214" s="8">
        <v>0</v>
      </c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</row>
    <row r="215" spans="1:24" ht="90" x14ac:dyDescent="0.25">
      <c r="A215" s="5" t="s">
        <v>289</v>
      </c>
      <c r="B215" s="5" t="s">
        <v>28</v>
      </c>
      <c r="C215" s="5" t="s">
        <v>29</v>
      </c>
      <c r="D215" s="11">
        <v>1</v>
      </c>
      <c r="E215" s="11">
        <v>1</v>
      </c>
      <c r="F215" s="12">
        <v>1701</v>
      </c>
      <c r="G215" s="5" t="str">
        <f t="shared" si="3"/>
        <v>53</v>
      </c>
      <c r="H215" s="5">
        <v>530402</v>
      </c>
      <c r="I215" s="6" t="str">
        <f>+IFERROR(VLOOKUP(H215,[1]CATALOGO!$B$2:$C$98,2,0),"")</f>
        <v>Edificios- Locales- Residencias y Cableado Estructurado (Instalacion - Mantenimiento y Reparacion)</v>
      </c>
      <c r="J215" s="11">
        <v>2</v>
      </c>
      <c r="K215" s="8">
        <v>72.599999999999909</v>
      </c>
      <c r="L215" s="8">
        <v>3200</v>
      </c>
      <c r="M215" s="8"/>
      <c r="N215" s="8">
        <v>3200</v>
      </c>
      <c r="O215" s="8"/>
      <c r="P215" s="8"/>
      <c r="Q215" s="8"/>
      <c r="R215" s="8"/>
      <c r="S215" s="8"/>
      <c r="T215" s="8"/>
      <c r="U215" s="8"/>
      <c r="V215" s="8"/>
      <c r="W215" s="8"/>
      <c r="X215" s="8"/>
    </row>
    <row r="216" spans="1:24" ht="90" x14ac:dyDescent="0.25">
      <c r="A216" s="5" t="s">
        <v>290</v>
      </c>
      <c r="B216" s="5" t="s">
        <v>44</v>
      </c>
      <c r="C216" s="5" t="s">
        <v>45</v>
      </c>
      <c r="D216" s="11">
        <v>1</v>
      </c>
      <c r="E216" s="11">
        <v>1</v>
      </c>
      <c r="F216" s="12">
        <v>1701</v>
      </c>
      <c r="G216" s="5" t="str">
        <f t="shared" si="3"/>
        <v>53</v>
      </c>
      <c r="H216" s="5">
        <v>530402</v>
      </c>
      <c r="I216" s="6" t="str">
        <f>+IFERROR(VLOOKUP(H216,[1]CATALOGO!$B$2:$C$98,2,0),"")</f>
        <v>Edificios- Locales- Residencias y Cableado Estructurado (Instalacion - Mantenimiento y Reparacion)</v>
      </c>
      <c r="J216" s="11">
        <v>2</v>
      </c>
      <c r="K216" s="8">
        <v>10000</v>
      </c>
      <c r="L216" s="8">
        <v>0</v>
      </c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</row>
    <row r="217" spans="1:24" ht="56.25" x14ac:dyDescent="0.25">
      <c r="A217" s="5" t="s">
        <v>291</v>
      </c>
      <c r="B217" s="5" t="s">
        <v>28</v>
      </c>
      <c r="C217" s="5" t="s">
        <v>29</v>
      </c>
      <c r="D217" s="11">
        <v>1</v>
      </c>
      <c r="E217" s="11">
        <v>1</v>
      </c>
      <c r="F217" s="12">
        <v>1701</v>
      </c>
      <c r="G217" s="5" t="str">
        <f t="shared" si="3"/>
        <v>53</v>
      </c>
      <c r="H217" s="5">
        <v>530404</v>
      </c>
      <c r="I217" s="6" t="str">
        <f>+IFERROR(VLOOKUP(H217,[1]CATALOGO!$B$2:$C$98,2,0),"")</f>
        <v>Maquinarias y Equipos (Instalacion- Mantenimiento y Reparacion)</v>
      </c>
      <c r="J217" s="11">
        <v>2</v>
      </c>
      <c r="K217" s="8">
        <v>38700</v>
      </c>
      <c r="L217" s="8">
        <v>2385</v>
      </c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>
        <v>2385</v>
      </c>
    </row>
    <row r="218" spans="1:24" ht="56.25" x14ac:dyDescent="0.25">
      <c r="A218" s="5" t="s">
        <v>292</v>
      </c>
      <c r="B218" s="5" t="s">
        <v>28</v>
      </c>
      <c r="C218" s="5" t="s">
        <v>29</v>
      </c>
      <c r="D218" s="11">
        <v>1</v>
      </c>
      <c r="E218" s="11">
        <v>1</v>
      </c>
      <c r="F218" s="12">
        <v>1701</v>
      </c>
      <c r="G218" s="5" t="str">
        <f t="shared" si="3"/>
        <v>53</v>
      </c>
      <c r="H218" s="5">
        <v>530404</v>
      </c>
      <c r="I218" s="6" t="str">
        <f>+IFERROR(VLOOKUP(H218,[1]CATALOGO!$B$2:$C$98,2,0),"")</f>
        <v>Maquinarias y Equipos (Instalacion- Mantenimiento y Reparacion)</v>
      </c>
      <c r="J218" s="11">
        <v>2</v>
      </c>
      <c r="K218" s="8">
        <v>3200</v>
      </c>
      <c r="L218" s="8">
        <v>5761</v>
      </c>
      <c r="M218" s="8"/>
      <c r="N218" s="8"/>
      <c r="O218" s="8"/>
      <c r="P218" s="8"/>
      <c r="Q218" s="8"/>
      <c r="R218" s="8"/>
      <c r="S218" s="8"/>
      <c r="T218" s="8"/>
      <c r="U218" s="8">
        <v>2163</v>
      </c>
      <c r="V218" s="8">
        <v>708</v>
      </c>
      <c r="W218" s="8">
        <f>766+708</f>
        <v>1474</v>
      </c>
      <c r="X218" s="8">
        <f>708+708</f>
        <v>1416</v>
      </c>
    </row>
    <row r="219" spans="1:24" ht="56.25" x14ac:dyDescent="0.25">
      <c r="A219" s="5" t="s">
        <v>293</v>
      </c>
      <c r="B219" s="5" t="s">
        <v>28</v>
      </c>
      <c r="C219" s="5" t="s">
        <v>29</v>
      </c>
      <c r="D219" s="11">
        <v>1</v>
      </c>
      <c r="E219" s="11">
        <v>1</v>
      </c>
      <c r="F219" s="12">
        <v>1701</v>
      </c>
      <c r="G219" s="5" t="str">
        <f t="shared" si="3"/>
        <v>53</v>
      </c>
      <c r="H219" s="5">
        <v>530404</v>
      </c>
      <c r="I219" s="6" t="str">
        <f>+IFERROR(VLOOKUP(H219,[1]CATALOGO!$B$2:$C$98,2,0),"")</f>
        <v>Maquinarias y Equipos (Instalacion- Mantenimiento y Reparacion)</v>
      </c>
      <c r="J219" s="11">
        <v>2</v>
      </c>
      <c r="K219" s="8">
        <v>15000</v>
      </c>
      <c r="L219" s="8">
        <v>6980</v>
      </c>
      <c r="M219" s="8"/>
      <c r="N219" s="8"/>
      <c r="O219" s="8"/>
      <c r="P219" s="8"/>
      <c r="Q219" s="8">
        <v>220</v>
      </c>
      <c r="R219" s="8">
        <v>5220</v>
      </c>
      <c r="S219" s="8">
        <v>220</v>
      </c>
      <c r="T219" s="8">
        <v>220</v>
      </c>
      <c r="U219" s="8">
        <v>220</v>
      </c>
      <c r="V219" s="8">
        <v>220</v>
      </c>
      <c r="W219" s="8">
        <f>220</f>
        <v>220</v>
      </c>
      <c r="X219" s="8">
        <f>220+220</f>
        <v>440</v>
      </c>
    </row>
    <row r="220" spans="1:24" ht="56.25" x14ac:dyDescent="0.25">
      <c r="A220" s="5" t="s">
        <v>294</v>
      </c>
      <c r="B220" s="5" t="s">
        <v>28</v>
      </c>
      <c r="C220" s="5" t="s">
        <v>29</v>
      </c>
      <c r="D220" s="11">
        <v>1</v>
      </c>
      <c r="E220" s="11">
        <v>1</v>
      </c>
      <c r="F220" s="12">
        <v>1701</v>
      </c>
      <c r="G220" s="5" t="str">
        <f t="shared" si="3"/>
        <v>53</v>
      </c>
      <c r="H220" s="5">
        <v>530404</v>
      </c>
      <c r="I220" s="6" t="str">
        <f>+IFERROR(VLOOKUP(H220,[1]CATALOGO!$B$2:$C$98,2,0),"")</f>
        <v>Maquinarias y Equipos (Instalacion- Mantenimiento y Reparacion)</v>
      </c>
      <c r="J220" s="11">
        <v>2</v>
      </c>
      <c r="K220" s="8">
        <v>3700</v>
      </c>
      <c r="L220" s="9">
        <v>0</v>
      </c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</row>
    <row r="221" spans="1:24" ht="45" x14ac:dyDescent="0.25">
      <c r="A221" s="5" t="s">
        <v>295</v>
      </c>
      <c r="B221" s="5" t="s">
        <v>28</v>
      </c>
      <c r="C221" s="5" t="s">
        <v>29</v>
      </c>
      <c r="D221" s="11">
        <v>1</v>
      </c>
      <c r="E221" s="11">
        <v>1</v>
      </c>
      <c r="F221" s="12">
        <v>1701</v>
      </c>
      <c r="G221" s="5" t="str">
        <f t="shared" si="3"/>
        <v>53</v>
      </c>
      <c r="H221" s="5">
        <v>530405</v>
      </c>
      <c r="I221" s="6" t="str">
        <f>+IFERROR(VLOOKUP(H221,[1]CATALOGO!$B$2:$C$98,2,0),"")</f>
        <v>Vehiculos (Servicio para Mantenimiento y Reparacion)</v>
      </c>
      <c r="J221" s="11">
        <v>2</v>
      </c>
      <c r="K221" s="8">
        <v>7200</v>
      </c>
      <c r="L221" s="8">
        <v>0</v>
      </c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</row>
    <row r="222" spans="1:24" ht="45" x14ac:dyDescent="0.25">
      <c r="A222" s="5" t="s">
        <v>296</v>
      </c>
      <c r="B222" s="5" t="s">
        <v>28</v>
      </c>
      <c r="C222" s="5" t="s">
        <v>29</v>
      </c>
      <c r="D222" s="11">
        <v>1</v>
      </c>
      <c r="E222" s="11">
        <v>1</v>
      </c>
      <c r="F222" s="12">
        <v>1701</v>
      </c>
      <c r="G222" s="5" t="str">
        <f t="shared" si="3"/>
        <v>53</v>
      </c>
      <c r="H222" s="5">
        <v>530405</v>
      </c>
      <c r="I222" s="6" t="str">
        <f>+IFERROR(VLOOKUP(H222,[1]CATALOGO!$B$2:$C$98,2,0),"")</f>
        <v>Vehiculos (Servicio para Mantenimiento y Reparacion)</v>
      </c>
      <c r="J222" s="11">
        <v>2</v>
      </c>
      <c r="K222" s="8">
        <v>7200</v>
      </c>
      <c r="L222" s="8">
        <v>0</v>
      </c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</row>
    <row r="223" spans="1:24" ht="45" x14ac:dyDescent="0.25">
      <c r="A223" s="5" t="s">
        <v>297</v>
      </c>
      <c r="B223" s="5" t="s">
        <v>28</v>
      </c>
      <c r="C223" s="5" t="s">
        <v>29</v>
      </c>
      <c r="D223" s="11">
        <v>1</v>
      </c>
      <c r="E223" s="11">
        <v>1</v>
      </c>
      <c r="F223" s="12">
        <v>1701</v>
      </c>
      <c r="G223" s="5" t="str">
        <f t="shared" si="3"/>
        <v>53</v>
      </c>
      <c r="H223" s="5">
        <v>530405</v>
      </c>
      <c r="I223" s="6" t="str">
        <f>+IFERROR(VLOOKUP(H223,[1]CATALOGO!$B$2:$C$98,2,0),"")</f>
        <v>Vehiculos (Servicio para Mantenimiento y Reparacion)</v>
      </c>
      <c r="J223" s="11">
        <v>2</v>
      </c>
      <c r="K223" s="8">
        <v>0</v>
      </c>
      <c r="L223" s="9">
        <v>0</v>
      </c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</row>
    <row r="224" spans="1:24" ht="45" x14ac:dyDescent="0.25">
      <c r="A224" s="5" t="s">
        <v>298</v>
      </c>
      <c r="B224" s="5" t="s">
        <v>28</v>
      </c>
      <c r="C224" s="5" t="s">
        <v>29</v>
      </c>
      <c r="D224" s="11">
        <v>1</v>
      </c>
      <c r="E224" s="11">
        <v>1</v>
      </c>
      <c r="F224" s="12">
        <v>1701</v>
      </c>
      <c r="G224" s="5" t="str">
        <f t="shared" si="3"/>
        <v>53</v>
      </c>
      <c r="H224" s="5">
        <v>530405</v>
      </c>
      <c r="I224" s="6" t="str">
        <f>+IFERROR(VLOOKUP(H224,[1]CATALOGO!$B$2:$C$98,2,0),"")</f>
        <v>Vehiculos (Servicio para Mantenimiento y Reparacion)</v>
      </c>
      <c r="J224" s="11">
        <v>2</v>
      </c>
      <c r="K224" s="8">
        <v>1500</v>
      </c>
      <c r="L224" s="8">
        <v>4800.32</v>
      </c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>
        <v>4800.32</v>
      </c>
    </row>
    <row r="225" spans="1:24" ht="56.25" x14ac:dyDescent="0.25">
      <c r="A225" s="5" t="s">
        <v>299</v>
      </c>
      <c r="B225" s="5" t="s">
        <v>28</v>
      </c>
      <c r="C225" s="5" t="s">
        <v>29</v>
      </c>
      <c r="D225" s="11">
        <v>1</v>
      </c>
      <c r="E225" s="11">
        <v>1</v>
      </c>
      <c r="F225" s="12">
        <v>1701</v>
      </c>
      <c r="G225" s="5" t="str">
        <f t="shared" si="3"/>
        <v>53</v>
      </c>
      <c r="H225" s="5">
        <v>530704</v>
      </c>
      <c r="I225" s="6" t="str">
        <f>+IFERROR(VLOOKUP(H225,[1]CATALOGO!$B$2:$C$98,2,0),"")</f>
        <v>Mantenimiento y Reparacion de Equipos y Sistemas Informaticos</v>
      </c>
      <c r="J225" s="11">
        <v>2</v>
      </c>
      <c r="K225" s="8">
        <v>1500</v>
      </c>
      <c r="L225" s="8">
        <v>7200</v>
      </c>
      <c r="M225" s="8"/>
      <c r="N225" s="8"/>
      <c r="O225" s="8"/>
      <c r="P225" s="8"/>
      <c r="Q225" s="8">
        <v>7200</v>
      </c>
      <c r="R225" s="8"/>
      <c r="S225" s="8"/>
      <c r="T225" s="8"/>
      <c r="U225" s="8"/>
      <c r="V225" s="8"/>
      <c r="W225" s="8"/>
      <c r="X225" s="8"/>
    </row>
    <row r="226" spans="1:24" ht="146.25" x14ac:dyDescent="0.25">
      <c r="A226" s="5" t="s">
        <v>300</v>
      </c>
      <c r="B226" s="5" t="s">
        <v>28</v>
      </c>
      <c r="C226" s="5" t="s">
        <v>29</v>
      </c>
      <c r="D226" s="11">
        <v>1</v>
      </c>
      <c r="E226" s="11">
        <v>1</v>
      </c>
      <c r="F226" s="12">
        <v>1701</v>
      </c>
      <c r="G226" s="5" t="str">
        <f t="shared" si="3"/>
        <v>53</v>
      </c>
      <c r="H226" s="5">
        <v>530811</v>
      </c>
      <c r="I226" s="6" t="str">
        <f>+IFERROR(VLOOKUP(H226,[1]CATALOGO!$B$2:$C$98,2,0),"")</f>
        <v>Insumos Materiales y Suministros para Construccion Electricidad Plomeria Carpinteria Senalizacion Vial Navegacion Contra Incendios y placas</v>
      </c>
      <c r="J226" s="11">
        <v>2</v>
      </c>
      <c r="K226" s="8">
        <v>0</v>
      </c>
      <c r="L226" s="9">
        <v>0</v>
      </c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</row>
    <row r="227" spans="1:24" ht="33.75" x14ac:dyDescent="0.25">
      <c r="A227" s="5" t="s">
        <v>301</v>
      </c>
      <c r="B227" s="5" t="s">
        <v>28</v>
      </c>
      <c r="C227" s="5" t="s">
        <v>29</v>
      </c>
      <c r="D227" s="11">
        <v>1</v>
      </c>
      <c r="E227" s="11">
        <v>1</v>
      </c>
      <c r="F227" s="12">
        <v>1701</v>
      </c>
      <c r="G227" s="5" t="str">
        <f t="shared" si="3"/>
        <v>53</v>
      </c>
      <c r="H227" s="5">
        <v>530804</v>
      </c>
      <c r="I227" s="6" t="str">
        <f>+IFERROR(VLOOKUP(H227,[1]CATALOGO!$B$2:$C$98,2,0),"")</f>
        <v>Materiales de Oficina</v>
      </c>
      <c r="J227" s="11">
        <v>2</v>
      </c>
      <c r="K227" s="8">
        <v>14300</v>
      </c>
      <c r="L227" s="9">
        <v>0</v>
      </c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</row>
    <row r="228" spans="1:24" ht="67.5" x14ac:dyDescent="0.25">
      <c r="A228" s="5" t="s">
        <v>302</v>
      </c>
      <c r="B228" s="5" t="s">
        <v>28</v>
      </c>
      <c r="C228" s="5" t="s">
        <v>29</v>
      </c>
      <c r="D228" s="11">
        <v>1</v>
      </c>
      <c r="E228" s="11">
        <v>1</v>
      </c>
      <c r="F228" s="12">
        <v>1701</v>
      </c>
      <c r="G228" s="5" t="str">
        <f t="shared" si="3"/>
        <v>57</v>
      </c>
      <c r="H228" s="5">
        <v>570102</v>
      </c>
      <c r="I228" s="6" t="str">
        <f>+IFERROR(VLOOKUP(H228,[1]CATALOGO!$B$2:$C$98,2,0),"")</f>
        <v>Tasas Generales- Impuestos- Contribuciones- Permisos- Licencias y Patentes</v>
      </c>
      <c r="J228" s="11">
        <v>2</v>
      </c>
      <c r="K228" s="8">
        <v>7200</v>
      </c>
      <c r="L228" s="8">
        <v>165</v>
      </c>
      <c r="M228" s="8"/>
      <c r="N228" s="8"/>
      <c r="O228" s="8"/>
      <c r="P228" s="8"/>
      <c r="Q228" s="8">
        <f>3+4</f>
        <v>7</v>
      </c>
      <c r="R228" s="8">
        <f>10+5+13</f>
        <v>28</v>
      </c>
      <c r="S228" s="8">
        <v>8</v>
      </c>
      <c r="T228" s="8">
        <f>22+8</f>
        <v>30</v>
      </c>
      <c r="U228" s="8">
        <v>11</v>
      </c>
      <c r="V228" s="8">
        <f>17+8</f>
        <v>25</v>
      </c>
      <c r="W228" s="8">
        <f>8+26</f>
        <v>34</v>
      </c>
      <c r="X228" s="8">
        <v>22</v>
      </c>
    </row>
    <row r="229" spans="1:24" ht="67.5" x14ac:dyDescent="0.25">
      <c r="A229" s="5" t="s">
        <v>303</v>
      </c>
      <c r="B229" s="5" t="s">
        <v>28</v>
      </c>
      <c r="C229" s="5" t="s">
        <v>29</v>
      </c>
      <c r="D229" s="11">
        <v>1</v>
      </c>
      <c r="E229" s="11">
        <v>1</v>
      </c>
      <c r="F229" s="12">
        <v>1701</v>
      </c>
      <c r="G229" s="5" t="str">
        <f t="shared" si="3"/>
        <v>57</v>
      </c>
      <c r="H229" s="5">
        <v>570102</v>
      </c>
      <c r="I229" s="6" t="str">
        <f>+IFERROR(VLOOKUP(H229,[1]CATALOGO!$B$2:$C$98,2,0),"")</f>
        <v>Tasas Generales- Impuestos- Contribuciones- Permisos- Licencias y Patentes</v>
      </c>
      <c r="J229" s="11">
        <v>2</v>
      </c>
      <c r="K229" s="8">
        <v>0</v>
      </c>
      <c r="L229" s="8">
        <v>2255.66</v>
      </c>
      <c r="M229" s="8"/>
      <c r="N229" s="8">
        <v>2255.66</v>
      </c>
      <c r="O229" s="8"/>
      <c r="P229" s="8"/>
      <c r="Q229" s="8"/>
      <c r="R229" s="8"/>
      <c r="S229" s="8"/>
      <c r="T229" s="8"/>
      <c r="U229" s="8"/>
      <c r="V229" s="8"/>
      <c r="W229" s="8"/>
      <c r="X229" s="8"/>
    </row>
    <row r="230" spans="1:24" ht="67.5" x14ac:dyDescent="0.25">
      <c r="A230" s="5" t="s">
        <v>304</v>
      </c>
      <c r="B230" s="5" t="s">
        <v>28</v>
      </c>
      <c r="C230" s="5" t="s">
        <v>29</v>
      </c>
      <c r="D230" s="11">
        <v>1</v>
      </c>
      <c r="E230" s="11">
        <v>1</v>
      </c>
      <c r="F230" s="12">
        <v>1701</v>
      </c>
      <c r="G230" s="5" t="str">
        <f t="shared" si="3"/>
        <v>57</v>
      </c>
      <c r="H230" s="5">
        <v>570102</v>
      </c>
      <c r="I230" s="6" t="str">
        <f>+IFERROR(VLOOKUP(H230,[1]CATALOGO!$B$2:$C$98,2,0),"")</f>
        <v>Tasas Generales- Impuestos- Contribuciones- Permisos- Licencias y Patentes</v>
      </c>
      <c r="J230" s="11">
        <v>2</v>
      </c>
      <c r="K230" s="8">
        <v>0</v>
      </c>
      <c r="L230" s="8">
        <v>3116.63</v>
      </c>
      <c r="M230" s="8"/>
      <c r="N230" s="8">
        <v>718</v>
      </c>
      <c r="O230" s="8">
        <v>1430.25</v>
      </c>
      <c r="P230" s="8"/>
      <c r="Q230" s="8">
        <v>968.38</v>
      </c>
      <c r="R230" s="8"/>
      <c r="S230" s="8"/>
      <c r="T230" s="8"/>
      <c r="U230" s="8"/>
      <c r="V230" s="8"/>
      <c r="W230" s="8"/>
      <c r="X230" s="8"/>
    </row>
    <row r="231" spans="1:24" ht="22.5" x14ac:dyDescent="0.25">
      <c r="A231" s="5" t="s">
        <v>305</v>
      </c>
      <c r="B231" s="5" t="s">
        <v>44</v>
      </c>
      <c r="C231" s="5" t="s">
        <v>45</v>
      </c>
      <c r="D231" s="11">
        <v>1</v>
      </c>
      <c r="E231" s="11">
        <v>1</v>
      </c>
      <c r="F231" s="12">
        <v>1701</v>
      </c>
      <c r="G231" s="5" t="str">
        <f t="shared" si="3"/>
        <v>53</v>
      </c>
      <c r="H231" s="5">
        <v>530813</v>
      </c>
      <c r="I231" s="6" t="str">
        <f>+IFERROR(VLOOKUP(H231,[1]CATALOGO!$B$2:$C$98,2,0),"")</f>
        <v>Repuestos y Accesorios</v>
      </c>
      <c r="J231" s="11">
        <v>2</v>
      </c>
      <c r="K231" s="8">
        <v>500</v>
      </c>
      <c r="L231" s="8">
        <v>0</v>
      </c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</row>
    <row r="232" spans="1:24" ht="56.25" x14ac:dyDescent="0.25">
      <c r="A232" s="5" t="s">
        <v>306</v>
      </c>
      <c r="B232" s="5" t="s">
        <v>28</v>
      </c>
      <c r="C232" s="5" t="s">
        <v>29</v>
      </c>
      <c r="D232" s="11">
        <v>1</v>
      </c>
      <c r="E232" s="11">
        <v>1</v>
      </c>
      <c r="F232" s="12">
        <v>1701</v>
      </c>
      <c r="G232" s="5" t="str">
        <f t="shared" si="3"/>
        <v>99</v>
      </c>
      <c r="H232" s="5">
        <v>990102</v>
      </c>
      <c r="I232" s="6" t="str">
        <f>+IFERROR(VLOOKUP(H232,[1]CATALOGO!$B$2:$C$98,2,0),"")</f>
        <v>Obligaciones de Ejercicios Anteriores por Egresos en Servicios</v>
      </c>
      <c r="J232" s="11">
        <v>2</v>
      </c>
      <c r="K232" s="8">
        <v>2500</v>
      </c>
      <c r="L232" s="8">
        <v>2885.1</v>
      </c>
      <c r="M232" s="8"/>
      <c r="N232" s="8">
        <v>2885.1</v>
      </c>
      <c r="O232" s="8"/>
      <c r="P232" s="8"/>
      <c r="Q232" s="8"/>
      <c r="R232" s="8"/>
      <c r="S232" s="8"/>
      <c r="T232" s="8"/>
      <c r="U232" s="8"/>
      <c r="V232" s="8"/>
      <c r="W232" s="8"/>
      <c r="X232" s="8"/>
    </row>
    <row r="233" spans="1:24" ht="56.25" x14ac:dyDescent="0.25">
      <c r="A233" s="5" t="s">
        <v>307</v>
      </c>
      <c r="B233" s="5" t="s">
        <v>28</v>
      </c>
      <c r="C233" s="5" t="s">
        <v>29</v>
      </c>
      <c r="D233" s="11">
        <v>1</v>
      </c>
      <c r="E233" s="11">
        <v>1</v>
      </c>
      <c r="F233" s="12">
        <v>1701</v>
      </c>
      <c r="G233" s="5" t="str">
        <f t="shared" si="3"/>
        <v>99</v>
      </c>
      <c r="H233" s="5">
        <v>990102</v>
      </c>
      <c r="I233" s="6" t="str">
        <f>+IFERROR(VLOOKUP(H233,[1]CATALOGO!$B$2:$C$98,2,0),"")</f>
        <v>Obligaciones de Ejercicios Anteriores por Egresos en Servicios</v>
      </c>
      <c r="J233" s="11">
        <v>2</v>
      </c>
      <c r="K233" s="8">
        <v>3222.37</v>
      </c>
      <c r="L233" s="8">
        <v>3497.09</v>
      </c>
      <c r="M233" s="8"/>
      <c r="N233" s="8"/>
      <c r="O233" s="8">
        <v>3497.09</v>
      </c>
      <c r="P233" s="8"/>
      <c r="Q233" s="8"/>
      <c r="R233" s="8"/>
      <c r="S233" s="8"/>
      <c r="T233" s="8"/>
      <c r="U233" s="8"/>
      <c r="V233" s="8"/>
      <c r="W233" s="8"/>
      <c r="X233" s="8"/>
    </row>
    <row r="234" spans="1:24" ht="56.25" x14ac:dyDescent="0.25">
      <c r="A234" s="5" t="s">
        <v>308</v>
      </c>
      <c r="B234" s="5" t="s">
        <v>28</v>
      </c>
      <c r="C234" s="5" t="s">
        <v>29</v>
      </c>
      <c r="D234" s="11">
        <v>1</v>
      </c>
      <c r="E234" s="11">
        <v>1</v>
      </c>
      <c r="F234" s="12">
        <v>1701</v>
      </c>
      <c r="G234" s="5" t="str">
        <f t="shared" si="3"/>
        <v>99</v>
      </c>
      <c r="H234" s="5">
        <v>990102</v>
      </c>
      <c r="I234" s="6" t="str">
        <f>+IFERROR(VLOOKUP(H234,[1]CATALOGO!$B$2:$C$98,2,0),"")</f>
        <v>Obligaciones de Ejercicios Anteriores por Egresos en Servicios</v>
      </c>
      <c r="J234" s="11">
        <v>2</v>
      </c>
      <c r="K234" s="8">
        <v>175</v>
      </c>
      <c r="L234" s="8">
        <v>11794.55</v>
      </c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>
        <v>11794.55</v>
      </c>
      <c r="X234" s="8"/>
    </row>
    <row r="235" spans="1:24" ht="22.5" x14ac:dyDescent="0.25">
      <c r="A235" s="5" t="s">
        <v>309</v>
      </c>
      <c r="B235" s="5" t="s">
        <v>44</v>
      </c>
      <c r="C235" s="5" t="s">
        <v>45</v>
      </c>
      <c r="D235" s="11">
        <v>1</v>
      </c>
      <c r="E235" s="11">
        <v>1</v>
      </c>
      <c r="F235" s="12">
        <v>1701</v>
      </c>
      <c r="G235" s="5" t="str">
        <f t="shared" si="3"/>
        <v>84</v>
      </c>
      <c r="H235" s="5">
        <v>840104</v>
      </c>
      <c r="I235" s="6" t="str">
        <f>+IFERROR(VLOOKUP(H235,[1]CATALOGO!$B$2:$C$98,2,0),"")</f>
        <v>Maquinarias y Equipos</v>
      </c>
      <c r="J235" s="11">
        <v>2</v>
      </c>
      <c r="K235" s="8">
        <v>3300</v>
      </c>
      <c r="L235" s="8">
        <v>0</v>
      </c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</row>
    <row r="236" spans="1:24" x14ac:dyDescent="0.25">
      <c r="A236" s="5" t="s">
        <v>310</v>
      </c>
      <c r="B236" s="5" t="s">
        <v>44</v>
      </c>
      <c r="C236" s="5" t="s">
        <v>45</v>
      </c>
      <c r="D236" s="11">
        <v>1</v>
      </c>
      <c r="E236" s="11">
        <v>1</v>
      </c>
      <c r="F236" s="12">
        <v>1701</v>
      </c>
      <c r="G236" s="5" t="str">
        <f t="shared" si="3"/>
        <v>84</v>
      </c>
      <c r="H236" s="5">
        <v>840105</v>
      </c>
      <c r="I236" s="6" t="str">
        <f>+IFERROR(VLOOKUP(H236,[1]CATALOGO!$B$2:$C$98,2,0),"")</f>
        <v>Vehículos</v>
      </c>
      <c r="J236" s="11">
        <v>2</v>
      </c>
      <c r="K236" s="8">
        <v>3500</v>
      </c>
      <c r="L236" s="8">
        <v>0</v>
      </c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</row>
    <row r="237" spans="1:24" x14ac:dyDescent="0.25">
      <c r="A237" s="5" t="s">
        <v>311</v>
      </c>
      <c r="B237" s="5" t="s">
        <v>44</v>
      </c>
      <c r="C237" s="5" t="s">
        <v>45</v>
      </c>
      <c r="D237" s="11">
        <v>1</v>
      </c>
      <c r="E237" s="11">
        <v>1</v>
      </c>
      <c r="F237" s="12">
        <v>1701</v>
      </c>
      <c r="G237" s="5" t="str">
        <f t="shared" si="3"/>
        <v>84</v>
      </c>
      <c r="H237" s="5">
        <v>840103</v>
      </c>
      <c r="I237" s="6" t="str">
        <f>+IFERROR(VLOOKUP(H237,[1]CATALOGO!$B$2:$C$98,2,0),"")</f>
        <v>Mobiliarios</v>
      </c>
      <c r="J237" s="11">
        <v>2</v>
      </c>
      <c r="K237" s="8">
        <v>11794.55</v>
      </c>
      <c r="L237" s="8">
        <v>0</v>
      </c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</row>
    <row r="238" spans="1:24" ht="45" x14ac:dyDescent="0.25">
      <c r="A238" s="5" t="s">
        <v>312</v>
      </c>
      <c r="B238" s="5" t="s">
        <v>28</v>
      </c>
      <c r="C238" s="5" t="s">
        <v>29</v>
      </c>
      <c r="D238" s="11">
        <v>1</v>
      </c>
      <c r="E238" s="11">
        <v>1</v>
      </c>
      <c r="F238" s="12">
        <v>1701</v>
      </c>
      <c r="G238" s="5" t="str">
        <f t="shared" si="3"/>
        <v>84</v>
      </c>
      <c r="H238" s="5">
        <v>840107</v>
      </c>
      <c r="I238" s="6" t="str">
        <f>+IFERROR(VLOOKUP(H238,[1]CATALOGO!$B$2:$C$98,2,0),"")</f>
        <v>Equipos, Sistemas y Paquetes Informáticos</v>
      </c>
      <c r="J238" s="11">
        <v>2</v>
      </c>
      <c r="K238" s="8">
        <v>7294.4000000000015</v>
      </c>
      <c r="L238" s="8">
        <v>1512.5</v>
      </c>
      <c r="M238" s="8"/>
      <c r="N238" s="8"/>
      <c r="O238" s="8"/>
      <c r="P238" s="8">
        <v>1512.5</v>
      </c>
      <c r="Q238" s="8"/>
      <c r="R238" s="8"/>
      <c r="S238" s="8"/>
      <c r="T238" s="8"/>
      <c r="U238" s="8"/>
      <c r="V238" s="8"/>
      <c r="W238" s="8"/>
      <c r="X238" s="8"/>
    </row>
    <row r="239" spans="1:24" ht="33.75" x14ac:dyDescent="0.25">
      <c r="A239" s="5" t="s">
        <v>313</v>
      </c>
      <c r="B239" s="5" t="s">
        <v>28</v>
      </c>
      <c r="C239" s="5" t="s">
        <v>29</v>
      </c>
      <c r="D239" s="11">
        <v>1</v>
      </c>
      <c r="E239" s="11">
        <v>1</v>
      </c>
      <c r="F239" s="12">
        <v>1701</v>
      </c>
      <c r="G239" s="5" t="str">
        <f t="shared" si="3"/>
        <v>57</v>
      </c>
      <c r="H239" s="5">
        <v>570201</v>
      </c>
      <c r="I239" s="6" t="str">
        <f>+IFERROR(VLOOKUP(H239,[1]CATALOGO!$B$2:$C$98,2,0),"")</f>
        <v>Seguros</v>
      </c>
      <c r="J239" s="11">
        <v>2</v>
      </c>
      <c r="K239" s="8">
        <v>210000</v>
      </c>
      <c r="L239" s="8">
        <v>414.16999999999996</v>
      </c>
      <c r="M239" s="8"/>
      <c r="N239" s="8"/>
      <c r="O239" s="8"/>
      <c r="P239" s="8">
        <v>147.69</v>
      </c>
      <c r="Q239" s="8"/>
      <c r="R239" s="8"/>
      <c r="S239" s="8"/>
      <c r="T239" s="8"/>
      <c r="U239" s="8">
        <v>32.57</v>
      </c>
      <c r="V239" s="8">
        <v>29.91</v>
      </c>
      <c r="W239" s="8"/>
      <c r="X239" s="8">
        <v>204</v>
      </c>
    </row>
    <row r="240" spans="1:24" ht="45" x14ac:dyDescent="0.25">
      <c r="A240" s="5" t="s">
        <v>314</v>
      </c>
      <c r="B240" s="5" t="s">
        <v>25</v>
      </c>
      <c r="C240" s="5" t="s">
        <v>95</v>
      </c>
      <c r="D240" s="11">
        <v>1</v>
      </c>
      <c r="E240" s="11">
        <v>1</v>
      </c>
      <c r="F240" s="12">
        <v>1701</v>
      </c>
      <c r="G240" s="5" t="str">
        <f t="shared" si="3"/>
        <v>53</v>
      </c>
      <c r="H240" s="5">
        <v>530702</v>
      </c>
      <c r="I240" s="6" t="str">
        <f>+IFERROR(VLOOKUP(H240,[1]CATALOGO!$B$2:$C$98,2,0),"")</f>
        <v>Arrendamiento y Licencias de Uso de Paquetes Informaticos</v>
      </c>
      <c r="J240" s="11">
        <v>2</v>
      </c>
      <c r="K240" s="8">
        <v>785.59999999999854</v>
      </c>
      <c r="L240" s="8">
        <v>26254.7</v>
      </c>
      <c r="M240" s="8"/>
      <c r="N240" s="8"/>
      <c r="O240" s="8"/>
      <c r="P240" s="8"/>
      <c r="Q240" s="8">
        <v>26254.7</v>
      </c>
      <c r="R240" s="8"/>
      <c r="S240" s="8"/>
      <c r="T240" s="8"/>
      <c r="U240" s="8"/>
      <c r="V240" s="8"/>
      <c r="W240" s="8"/>
      <c r="X240" s="8"/>
    </row>
    <row r="241" spans="1:24" ht="45" x14ac:dyDescent="0.25">
      <c r="A241" s="5" t="s">
        <v>315</v>
      </c>
      <c r="B241" s="5" t="s">
        <v>25</v>
      </c>
      <c r="C241" s="5" t="s">
        <v>95</v>
      </c>
      <c r="D241" s="11">
        <v>1</v>
      </c>
      <c r="E241" s="11">
        <v>1</v>
      </c>
      <c r="F241" s="12">
        <v>1701</v>
      </c>
      <c r="G241" s="5" t="str">
        <f t="shared" si="3"/>
        <v>84</v>
      </c>
      <c r="H241" s="5">
        <v>840107</v>
      </c>
      <c r="I241" s="6" t="str">
        <f>+IFERROR(VLOOKUP(H241,[1]CATALOGO!$B$2:$C$98,2,0),"")</f>
        <v>Equipos, Sistemas y Paquetes Informáticos</v>
      </c>
      <c r="J241" s="11">
        <v>2</v>
      </c>
      <c r="K241" s="8">
        <v>2250</v>
      </c>
      <c r="L241" s="8">
        <v>31650</v>
      </c>
      <c r="M241" s="8"/>
      <c r="N241" s="8"/>
      <c r="O241" s="8">
        <v>31650</v>
      </c>
      <c r="P241" s="8"/>
      <c r="Q241" s="8"/>
      <c r="R241" s="8"/>
      <c r="S241" s="8"/>
      <c r="T241" s="8"/>
      <c r="U241" s="8"/>
      <c r="V241" s="8"/>
      <c r="W241" s="8"/>
      <c r="X241" s="8"/>
    </row>
    <row r="242" spans="1:24" ht="78.75" x14ac:dyDescent="0.25">
      <c r="A242" s="5" t="s">
        <v>316</v>
      </c>
      <c r="B242" s="5" t="s">
        <v>148</v>
      </c>
      <c r="C242" s="5" t="s">
        <v>148</v>
      </c>
      <c r="D242" s="11">
        <v>1</v>
      </c>
      <c r="E242" s="11">
        <v>1</v>
      </c>
      <c r="F242" s="12">
        <v>1701</v>
      </c>
      <c r="G242" s="5" t="str">
        <f t="shared" si="3"/>
        <v>53</v>
      </c>
      <c r="H242" s="5">
        <v>530203</v>
      </c>
      <c r="I242" s="6" t="str">
        <f>+IFERROR(VLOOKUP(H242,[1]CATALOGO!$B$2:$C$98,2,0),"")</f>
        <v>Almacenamiento - Embalaje - Desembalaje Envase Desenvase y Recarga de Extintores</v>
      </c>
      <c r="J242" s="11">
        <v>2</v>
      </c>
      <c r="K242" s="8">
        <v>3500</v>
      </c>
      <c r="L242" s="8">
        <v>845.5</v>
      </c>
      <c r="M242" s="8"/>
      <c r="N242" s="8">
        <v>845.5</v>
      </c>
      <c r="O242" s="8"/>
      <c r="P242" s="8"/>
      <c r="Q242" s="8"/>
      <c r="R242" s="8"/>
      <c r="S242" s="8"/>
      <c r="T242" s="8"/>
      <c r="U242" s="8"/>
      <c r="V242" s="8"/>
      <c r="W242" s="8"/>
      <c r="X242" s="8"/>
    </row>
    <row r="243" spans="1:24" ht="56.25" x14ac:dyDescent="0.25">
      <c r="A243" s="5" t="s">
        <v>317</v>
      </c>
      <c r="B243" s="13" t="s">
        <v>211</v>
      </c>
      <c r="C243" s="13" t="s">
        <v>212</v>
      </c>
      <c r="D243" s="11">
        <v>55</v>
      </c>
      <c r="E243" s="11">
        <v>1</v>
      </c>
      <c r="F243" s="12">
        <v>1701</v>
      </c>
      <c r="G243" s="5" t="str">
        <f t="shared" si="3"/>
        <v>84</v>
      </c>
      <c r="H243" s="5">
        <v>840104</v>
      </c>
      <c r="I243" s="6" t="str">
        <f>+IFERROR(VLOOKUP(H243,[1]CATALOGO!$B$2:$C$98,2,0),"")</f>
        <v>Maquinarias y Equipos</v>
      </c>
      <c r="J243" s="11">
        <v>2</v>
      </c>
      <c r="K243" s="8">
        <v>26254.7</v>
      </c>
      <c r="L243" s="8">
        <v>6197</v>
      </c>
      <c r="M243" s="8"/>
      <c r="N243" s="8"/>
      <c r="O243" s="8"/>
      <c r="P243" s="8"/>
      <c r="Q243" s="8">
        <v>6197</v>
      </c>
      <c r="R243" s="8"/>
      <c r="S243" s="8"/>
      <c r="T243" s="8"/>
      <c r="U243" s="8"/>
      <c r="V243" s="8"/>
      <c r="W243" s="8"/>
      <c r="X243" s="8"/>
    </row>
    <row r="244" spans="1:24" ht="56.25" x14ac:dyDescent="0.25">
      <c r="A244" s="5" t="s">
        <v>318</v>
      </c>
      <c r="B244" s="13" t="s">
        <v>211</v>
      </c>
      <c r="C244" s="13" t="s">
        <v>212</v>
      </c>
      <c r="D244" s="11">
        <v>55</v>
      </c>
      <c r="E244" s="11">
        <v>1</v>
      </c>
      <c r="F244" s="12">
        <v>1701</v>
      </c>
      <c r="G244" s="5" t="str">
        <f t="shared" si="3"/>
        <v>84</v>
      </c>
      <c r="H244" s="5">
        <v>840104</v>
      </c>
      <c r="I244" s="6" t="str">
        <f>+IFERROR(VLOOKUP(H244,[1]CATALOGO!$B$2:$C$98,2,0),"")</f>
        <v>Maquinarias y Equipos</v>
      </c>
      <c r="J244" s="11">
        <v>2</v>
      </c>
      <c r="K244" s="8">
        <v>47070</v>
      </c>
      <c r="L244" s="8">
        <v>0</v>
      </c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</row>
    <row r="245" spans="1:24" ht="56.25" x14ac:dyDescent="0.25">
      <c r="A245" s="5" t="s">
        <v>319</v>
      </c>
      <c r="B245" s="13" t="s">
        <v>211</v>
      </c>
      <c r="C245" s="13" t="s">
        <v>212</v>
      </c>
      <c r="D245" s="11">
        <v>55</v>
      </c>
      <c r="E245" s="11">
        <v>1</v>
      </c>
      <c r="F245" s="12">
        <v>1701</v>
      </c>
      <c r="G245" s="5" t="str">
        <f t="shared" si="3"/>
        <v>84</v>
      </c>
      <c r="H245" s="5">
        <v>840104</v>
      </c>
      <c r="I245" s="6" t="str">
        <f>+IFERROR(VLOOKUP(H245,[1]CATALOGO!$B$2:$C$98,2,0),"")</f>
        <v>Maquinarias y Equipos</v>
      </c>
      <c r="J245" s="11">
        <v>2</v>
      </c>
      <c r="K245" s="8">
        <v>845.5</v>
      </c>
      <c r="L245" s="8">
        <v>0</v>
      </c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</row>
    <row r="246" spans="1:24" ht="56.25" x14ac:dyDescent="0.25">
      <c r="A246" s="5" t="s">
        <v>320</v>
      </c>
      <c r="B246" s="13" t="s">
        <v>211</v>
      </c>
      <c r="C246" s="13" t="s">
        <v>212</v>
      </c>
      <c r="D246" s="11">
        <v>55</v>
      </c>
      <c r="E246" s="11">
        <v>1</v>
      </c>
      <c r="F246" s="12">
        <v>1701</v>
      </c>
      <c r="G246" s="5" t="str">
        <f t="shared" si="3"/>
        <v>84</v>
      </c>
      <c r="H246" s="5">
        <v>840106</v>
      </c>
      <c r="I246" s="6" t="str">
        <f>+IFERROR(VLOOKUP(H246,[1]CATALOGO!$B$2:$C$98,2,0),"")</f>
        <v/>
      </c>
      <c r="J246" s="11">
        <v>2</v>
      </c>
      <c r="K246" s="8">
        <v>7212.6</v>
      </c>
      <c r="L246" s="8">
        <v>0</v>
      </c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</row>
    <row r="247" spans="1:24" ht="90" x14ac:dyDescent="0.25">
      <c r="A247" s="5" t="s">
        <v>321</v>
      </c>
      <c r="B247" s="5" t="s">
        <v>28</v>
      </c>
      <c r="C247" s="5" t="s">
        <v>29</v>
      </c>
      <c r="D247" s="11">
        <v>1</v>
      </c>
      <c r="E247" s="11">
        <v>1</v>
      </c>
      <c r="F247" s="12">
        <v>1701</v>
      </c>
      <c r="G247" s="5" t="str">
        <f t="shared" si="3"/>
        <v>53</v>
      </c>
      <c r="H247" s="5">
        <v>530502</v>
      </c>
      <c r="I247" s="6" t="str">
        <f>+IFERROR(VLOOKUP(H247,[1]CATALOGO!$B$2:$C$98,2,0),"")</f>
        <v>Edificios- Locales y Residencias- Parqueaderos- Casilleros Judiciales y Bancarios (Arrendamiento)</v>
      </c>
      <c r="J247" s="11">
        <v>2</v>
      </c>
      <c r="K247" s="8">
        <v>3000</v>
      </c>
      <c r="L247" s="8">
        <v>73</v>
      </c>
      <c r="M247" s="8"/>
      <c r="N247" s="8"/>
      <c r="O247" s="8"/>
      <c r="P247" s="8"/>
      <c r="Q247" s="8"/>
      <c r="R247" s="8"/>
      <c r="S247" s="8"/>
      <c r="T247" s="8">
        <v>16</v>
      </c>
      <c r="U247" s="8">
        <v>16</v>
      </c>
      <c r="V247" s="8">
        <v>16</v>
      </c>
      <c r="W247" s="8">
        <f>15+10</f>
        <v>25</v>
      </c>
      <c r="X247" s="8"/>
    </row>
    <row r="248" spans="1:24" ht="146.25" x14ac:dyDescent="0.25">
      <c r="A248" s="5" t="s">
        <v>322</v>
      </c>
      <c r="B248" s="5" t="s">
        <v>28</v>
      </c>
      <c r="C248" s="5" t="s">
        <v>29</v>
      </c>
      <c r="D248" s="11">
        <v>1</v>
      </c>
      <c r="E248" s="11">
        <v>1</v>
      </c>
      <c r="F248" s="12">
        <v>1701</v>
      </c>
      <c r="G248" s="5" t="str">
        <f t="shared" si="3"/>
        <v>53</v>
      </c>
      <c r="H248" s="5">
        <v>530811</v>
      </c>
      <c r="I248" s="6" t="str">
        <f>+IFERROR(VLOOKUP(H248,[1]CATALOGO!$B$2:$C$98,2,0),"")</f>
        <v>Insumos Materiales y Suministros para Construccion Electricidad Plomeria Carpinteria Senalizacion Vial Navegacion Contra Incendios y placas</v>
      </c>
      <c r="J248" s="11">
        <v>2</v>
      </c>
      <c r="K248" s="8">
        <v>22000</v>
      </c>
      <c r="L248" s="8">
        <v>0</v>
      </c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</row>
    <row r="249" spans="1:24" ht="33.75" x14ac:dyDescent="0.25">
      <c r="A249" s="5" t="s">
        <v>323</v>
      </c>
      <c r="B249" s="5" t="s">
        <v>28</v>
      </c>
      <c r="C249" s="5" t="s">
        <v>29</v>
      </c>
      <c r="D249" s="11">
        <v>1</v>
      </c>
      <c r="E249" s="11">
        <v>1</v>
      </c>
      <c r="F249" s="12">
        <v>1701</v>
      </c>
      <c r="G249" s="5" t="str">
        <f t="shared" si="3"/>
        <v>53</v>
      </c>
      <c r="H249" s="5">
        <v>530804</v>
      </c>
      <c r="I249" s="6" t="str">
        <f>+IFERROR(VLOOKUP(H249,[1]CATALOGO!$B$2:$C$98,2,0),"")</f>
        <v>Materiales de Oficina</v>
      </c>
      <c r="J249" s="11">
        <v>2</v>
      </c>
      <c r="K249" s="8">
        <v>2400</v>
      </c>
      <c r="L249" s="8">
        <v>524.34</v>
      </c>
      <c r="M249" s="8"/>
      <c r="N249" s="8"/>
      <c r="O249" s="8"/>
      <c r="P249" s="8">
        <v>524.34</v>
      </c>
      <c r="Q249" s="8"/>
      <c r="R249" s="8"/>
      <c r="S249" s="8"/>
      <c r="T249" s="8"/>
      <c r="U249" s="8"/>
      <c r="V249" s="8"/>
      <c r="W249" s="8"/>
      <c r="X249" s="8"/>
    </row>
    <row r="250" spans="1:24" ht="33.75" x14ac:dyDescent="0.25">
      <c r="A250" s="5" t="s">
        <v>324</v>
      </c>
      <c r="B250" s="5" t="s">
        <v>28</v>
      </c>
      <c r="C250" s="5" t="s">
        <v>29</v>
      </c>
      <c r="D250" s="11">
        <v>1</v>
      </c>
      <c r="E250" s="11">
        <v>1</v>
      </c>
      <c r="F250" s="12">
        <v>1701</v>
      </c>
      <c r="G250" s="5" t="str">
        <f t="shared" si="3"/>
        <v>53</v>
      </c>
      <c r="H250" s="5">
        <v>530255</v>
      </c>
      <c r="I250" s="6" t="str">
        <f>+IFERROR(VLOOKUP(H250,[1]CATALOGO!$B$2:$C$98,2,0),"")</f>
        <v>Combustibles y Lubricantes</v>
      </c>
      <c r="J250" s="11">
        <v>2</v>
      </c>
      <c r="K250" s="8">
        <v>500</v>
      </c>
      <c r="L250" s="8">
        <v>2160.73</v>
      </c>
      <c r="M250" s="8"/>
      <c r="N250" s="8"/>
      <c r="O250" s="8">
        <f>25+36.5</f>
        <v>61.5</v>
      </c>
      <c r="P250" s="8"/>
      <c r="Q250" s="8">
        <v>148.77000000000001</v>
      </c>
      <c r="R250" s="8">
        <f>187.57+92.51+10+39.5</f>
        <v>329.58</v>
      </c>
      <c r="S250" s="8">
        <f>190.5+125.56</f>
        <v>316.06</v>
      </c>
      <c r="T250" s="8">
        <f>123.51+108</f>
        <v>231.51</v>
      </c>
      <c r="U250" s="8">
        <v>140.88999999999999</v>
      </c>
      <c r="V250" s="8">
        <f>90+131</f>
        <v>221</v>
      </c>
      <c r="W250" s="8">
        <f>134+254.9+20.02+103.5</f>
        <v>512.41999999999996</v>
      </c>
      <c r="X250" s="8">
        <v>199</v>
      </c>
    </row>
    <row r="251" spans="1:24" ht="33.75" x14ac:dyDescent="0.25">
      <c r="A251" s="5" t="s">
        <v>325</v>
      </c>
      <c r="B251" s="5" t="s">
        <v>114</v>
      </c>
      <c r="C251" s="5" t="s">
        <v>114</v>
      </c>
      <c r="D251" s="11">
        <v>1</v>
      </c>
      <c r="E251" s="11">
        <v>1</v>
      </c>
      <c r="F251" s="12">
        <v>1701</v>
      </c>
      <c r="G251" s="5" t="str">
        <f t="shared" si="3"/>
        <v>84</v>
      </c>
      <c r="H251" s="5">
        <v>840104</v>
      </c>
      <c r="I251" s="6" t="str">
        <f>+IFERROR(VLOOKUP(H251,[1]CATALOGO!$B$2:$C$98,2,0),"")</f>
        <v>Maquinarias y Equipos</v>
      </c>
      <c r="J251" s="11">
        <v>2</v>
      </c>
      <c r="K251" s="8">
        <v>818.07000000000016</v>
      </c>
      <c r="L251" s="8">
        <v>0</v>
      </c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</row>
    <row r="252" spans="1:24" ht="56.25" x14ac:dyDescent="0.25">
      <c r="A252" s="5" t="s">
        <v>326</v>
      </c>
      <c r="B252" s="13" t="s">
        <v>92</v>
      </c>
      <c r="C252" s="13" t="s">
        <v>224</v>
      </c>
      <c r="D252" s="11">
        <v>1</v>
      </c>
      <c r="E252" s="11">
        <v>1</v>
      </c>
      <c r="F252" s="12">
        <v>1701</v>
      </c>
      <c r="G252" s="5" t="str">
        <f t="shared" si="3"/>
        <v>53</v>
      </c>
      <c r="H252" s="5">
        <v>530601</v>
      </c>
      <c r="I252" s="6" t="str">
        <f>+IFERROR(VLOOKUP(H252,[1]CATALOGO!$B$2:$C$98,2,0),"")</f>
        <v>Consultoría, Asesoría e Investigación Especializada</v>
      </c>
      <c r="J252" s="11">
        <v>2</v>
      </c>
      <c r="K252" s="8">
        <v>524.34000000000037</v>
      </c>
      <c r="L252" s="8">
        <v>192500</v>
      </c>
      <c r="M252" s="8"/>
      <c r="N252" s="8"/>
      <c r="O252" s="8"/>
      <c r="P252" s="8">
        <v>105000</v>
      </c>
      <c r="Q252" s="8"/>
      <c r="R252" s="8"/>
      <c r="S252" s="8"/>
      <c r="T252" s="8"/>
      <c r="U252" s="8"/>
      <c r="V252" s="8"/>
      <c r="W252" s="8">
        <v>87500</v>
      </c>
      <c r="X252" s="8"/>
    </row>
    <row r="253" spans="1:24" ht="33.75" x14ac:dyDescent="0.25">
      <c r="A253" s="5" t="s">
        <v>327</v>
      </c>
      <c r="B253" s="5" t="s">
        <v>114</v>
      </c>
      <c r="C253" s="5" t="s">
        <v>114</v>
      </c>
      <c r="D253" s="11">
        <v>1</v>
      </c>
      <c r="E253" s="11">
        <v>1</v>
      </c>
      <c r="F253" s="12">
        <v>1701</v>
      </c>
      <c r="G253" s="5" t="str">
        <f t="shared" si="3"/>
        <v>53</v>
      </c>
      <c r="H253" s="5">
        <v>530804</v>
      </c>
      <c r="I253" s="6" t="str">
        <f>+IFERROR(VLOOKUP(H253,[1]CATALOGO!$B$2:$C$98,2,0),"")</f>
        <v>Materiales de Oficina</v>
      </c>
      <c r="J253" s="11">
        <v>2</v>
      </c>
      <c r="K253" s="8">
        <v>2500</v>
      </c>
      <c r="L253" s="8">
        <v>0</v>
      </c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</row>
    <row r="254" spans="1:24" ht="56.25" x14ac:dyDescent="0.25">
      <c r="A254" s="5" t="s">
        <v>328</v>
      </c>
      <c r="B254" s="5" t="s">
        <v>44</v>
      </c>
      <c r="C254" s="5" t="s">
        <v>45</v>
      </c>
      <c r="D254" s="11">
        <v>1</v>
      </c>
      <c r="E254" s="11">
        <v>1</v>
      </c>
      <c r="F254" s="12">
        <v>1701</v>
      </c>
      <c r="G254" s="5" t="str">
        <f t="shared" si="3"/>
        <v>53</v>
      </c>
      <c r="H254" s="5">
        <v>530404</v>
      </c>
      <c r="I254" s="6" t="str">
        <f>+IFERROR(VLOOKUP(H254,[1]CATALOGO!$B$2:$C$98,2,0),"")</f>
        <v>Maquinarias y Equipos (Instalacion- Mantenimiento y Reparacion)</v>
      </c>
      <c r="J254" s="11">
        <v>2</v>
      </c>
      <c r="K254" s="8">
        <v>7200</v>
      </c>
      <c r="L254" s="8">
        <v>0</v>
      </c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</row>
    <row r="255" spans="1:24" ht="56.25" x14ac:dyDescent="0.25">
      <c r="A255" s="5" t="s">
        <v>329</v>
      </c>
      <c r="B255" s="5" t="s">
        <v>44</v>
      </c>
      <c r="C255" s="5" t="s">
        <v>45</v>
      </c>
      <c r="D255" s="11">
        <v>1</v>
      </c>
      <c r="E255" s="11">
        <v>1</v>
      </c>
      <c r="F255" s="12">
        <v>1701</v>
      </c>
      <c r="G255" s="5" t="str">
        <f t="shared" si="3"/>
        <v>53</v>
      </c>
      <c r="H255" s="5">
        <v>530404</v>
      </c>
      <c r="I255" s="6" t="str">
        <f>+IFERROR(VLOOKUP(H255,[1]CATALOGO!$B$2:$C$98,2,0),"")</f>
        <v>Maquinarias y Equipos (Instalacion- Mantenimiento y Reparacion)</v>
      </c>
      <c r="J255" s="11">
        <v>2</v>
      </c>
      <c r="K255" s="8">
        <v>350000</v>
      </c>
      <c r="L255" s="8">
        <v>0</v>
      </c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</row>
    <row r="256" spans="1:24" ht="56.25" x14ac:dyDescent="0.25">
      <c r="A256" s="5" t="s">
        <v>330</v>
      </c>
      <c r="B256" s="5" t="s">
        <v>28</v>
      </c>
      <c r="C256" s="5" t="s">
        <v>29</v>
      </c>
      <c r="D256" s="11">
        <v>1</v>
      </c>
      <c r="E256" s="11">
        <v>1</v>
      </c>
      <c r="F256" s="12">
        <v>1701</v>
      </c>
      <c r="G256" s="5" t="str">
        <f t="shared" si="3"/>
        <v>53</v>
      </c>
      <c r="H256" s="5">
        <v>530404</v>
      </c>
      <c r="I256" s="6" t="str">
        <f>+IFERROR(VLOOKUP(H256,[1]CATALOGO!$B$2:$C$98,2,0),"")</f>
        <v>Maquinarias y Equipos (Instalacion- Mantenimiento y Reparacion)</v>
      </c>
      <c r="J256" s="11">
        <v>2</v>
      </c>
      <c r="K256" s="8">
        <v>3600</v>
      </c>
      <c r="L256" s="8">
        <v>4550</v>
      </c>
      <c r="M256" s="8"/>
      <c r="N256" s="8"/>
      <c r="O256" s="8"/>
      <c r="P256" s="8"/>
      <c r="Q256" s="8"/>
      <c r="R256" s="8">
        <v>4550</v>
      </c>
      <c r="S256" s="8"/>
      <c r="T256" s="8"/>
      <c r="U256" s="8"/>
      <c r="V256" s="8"/>
      <c r="W256" s="8"/>
      <c r="X256" s="8"/>
    </row>
    <row r="257" spans="1:24" ht="112.5" x14ac:dyDescent="0.25">
      <c r="A257" s="5" t="s">
        <v>331</v>
      </c>
      <c r="B257" s="5" t="s">
        <v>44</v>
      </c>
      <c r="C257" s="5" t="s">
        <v>45</v>
      </c>
      <c r="D257" s="11">
        <v>1</v>
      </c>
      <c r="E257" s="11">
        <v>1</v>
      </c>
      <c r="F257" s="12">
        <v>1701</v>
      </c>
      <c r="G257" s="5" t="str">
        <f t="shared" si="3"/>
        <v>53</v>
      </c>
      <c r="H257" s="5">
        <v>530802</v>
      </c>
      <c r="I257" s="6" t="str">
        <f>+IFERROR(VLOOKUP(H257,[1]CATALOGO!$B$2:$C$98,2,0),"")</f>
        <v>Vestuario- Lenceria- Prendas de Proteccion- y- Accesorios para Uniformes del personal de proteccion vigilancia y seguridad</v>
      </c>
      <c r="J257" s="11">
        <v>2</v>
      </c>
      <c r="K257" s="8">
        <v>7200</v>
      </c>
      <c r="L257" s="8">
        <v>0</v>
      </c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</row>
    <row r="258" spans="1:24" ht="112.5" x14ac:dyDescent="0.25">
      <c r="A258" s="5" t="s">
        <v>332</v>
      </c>
      <c r="B258" s="5" t="s">
        <v>44</v>
      </c>
      <c r="C258" s="5" t="s">
        <v>45</v>
      </c>
      <c r="D258" s="11">
        <v>1</v>
      </c>
      <c r="E258" s="11">
        <v>1</v>
      </c>
      <c r="F258" s="12">
        <v>1701</v>
      </c>
      <c r="G258" s="5" t="str">
        <f t="shared" si="3"/>
        <v>53</v>
      </c>
      <c r="H258" s="5">
        <v>530802</v>
      </c>
      <c r="I258" s="6" t="str">
        <f>+IFERROR(VLOOKUP(H258,[1]CATALOGO!$B$2:$C$98,2,0),"")</f>
        <v>Vestuario- Lenceria- Prendas de Proteccion- y- Accesorios para Uniformes del personal de proteccion vigilancia y seguridad</v>
      </c>
      <c r="J258" s="11">
        <v>2</v>
      </c>
      <c r="K258" s="8">
        <v>7200</v>
      </c>
      <c r="L258" s="8">
        <v>0</v>
      </c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</row>
    <row r="259" spans="1:24" ht="56.25" x14ac:dyDescent="0.25">
      <c r="A259" s="5" t="s">
        <v>333</v>
      </c>
      <c r="B259" s="5" t="s">
        <v>28</v>
      </c>
      <c r="C259" s="5" t="s">
        <v>152</v>
      </c>
      <c r="D259" s="11">
        <v>1</v>
      </c>
      <c r="E259" s="11">
        <v>1</v>
      </c>
      <c r="F259" s="12">
        <v>1701</v>
      </c>
      <c r="G259" s="5" t="str">
        <f t="shared" si="3"/>
        <v>53</v>
      </c>
      <c r="H259" s="5">
        <v>530210</v>
      </c>
      <c r="I259" s="6" t="str">
        <f>+IFERROR(VLOOKUP(H259,[1]CATALOGO!$B$2:$C$98,2,0),"")</f>
        <v>Servicio de Guardería</v>
      </c>
      <c r="J259" s="11">
        <v>2</v>
      </c>
      <c r="K259" s="8">
        <v>6800</v>
      </c>
      <c r="L259" s="8">
        <v>558</v>
      </c>
      <c r="M259" s="8"/>
      <c r="N259" s="8"/>
      <c r="O259" s="8"/>
      <c r="P259" s="8">
        <v>558</v>
      </c>
      <c r="Q259" s="8"/>
      <c r="R259" s="8"/>
      <c r="S259" s="8"/>
      <c r="T259" s="8"/>
      <c r="U259" s="8"/>
      <c r="V259" s="8"/>
      <c r="W259" s="8"/>
      <c r="X259" s="8"/>
    </row>
    <row r="260" spans="1:24" ht="56.25" x14ac:dyDescent="0.25">
      <c r="A260" s="5" t="s">
        <v>334</v>
      </c>
      <c r="B260" s="5" t="s">
        <v>28</v>
      </c>
      <c r="C260" s="5" t="s">
        <v>152</v>
      </c>
      <c r="D260" s="11">
        <v>1</v>
      </c>
      <c r="E260" s="11">
        <v>1</v>
      </c>
      <c r="F260" s="12">
        <v>1701</v>
      </c>
      <c r="G260" s="5" t="str">
        <f t="shared" si="3"/>
        <v>53</v>
      </c>
      <c r="H260" s="5">
        <v>530210</v>
      </c>
      <c r="I260" s="6" t="str">
        <f>+IFERROR(VLOOKUP(H260,[1]CATALOGO!$B$2:$C$98,2,0),"")</f>
        <v>Servicio de Guardería</v>
      </c>
      <c r="J260" s="11">
        <v>2</v>
      </c>
      <c r="K260" s="8">
        <v>45378</v>
      </c>
      <c r="L260" s="8">
        <v>6616.29</v>
      </c>
      <c r="M260" s="8"/>
      <c r="N260" s="8"/>
      <c r="O260" s="8"/>
      <c r="P260" s="8"/>
      <c r="Q260" s="8">
        <v>549</v>
      </c>
      <c r="R260" s="8">
        <f>642+744</f>
        <v>1386</v>
      </c>
      <c r="S260" s="8">
        <v>837</v>
      </c>
      <c r="T260" s="8">
        <v>697.5</v>
      </c>
      <c r="U260" s="8">
        <v>713.19</v>
      </c>
      <c r="V260" s="8">
        <v>821.7</v>
      </c>
      <c r="W260" s="8">
        <v>730</v>
      </c>
      <c r="X260" s="8">
        <v>881.9</v>
      </c>
    </row>
    <row r="261" spans="1:24" ht="56.25" x14ac:dyDescent="0.25">
      <c r="A261" s="5" t="s">
        <v>335</v>
      </c>
      <c r="B261" s="5" t="s">
        <v>28</v>
      </c>
      <c r="C261" s="5" t="s">
        <v>152</v>
      </c>
      <c r="D261" s="11">
        <v>1</v>
      </c>
      <c r="E261" s="11">
        <v>1</v>
      </c>
      <c r="F261" s="12">
        <v>1701</v>
      </c>
      <c r="G261" s="5" t="str">
        <f t="shared" si="3"/>
        <v>53</v>
      </c>
      <c r="H261" s="5">
        <v>530404</v>
      </c>
      <c r="I261" s="6" t="str">
        <f>+IFERROR(VLOOKUP(H261,[1]CATALOGO!$B$2:$C$98,2,0),"")</f>
        <v>Maquinarias y Equipos (Instalacion- Mantenimiento y Reparacion)</v>
      </c>
      <c r="J261" s="11">
        <v>2</v>
      </c>
      <c r="K261" s="8">
        <v>7305.25</v>
      </c>
      <c r="L261" s="8">
        <v>1350</v>
      </c>
      <c r="M261" s="8"/>
      <c r="N261" s="8"/>
      <c r="O261" s="8"/>
      <c r="P261" s="8"/>
      <c r="Q261" s="8"/>
      <c r="R261" s="8"/>
      <c r="S261" s="8"/>
      <c r="T261" s="8">
        <v>1350</v>
      </c>
      <c r="U261" s="8"/>
      <c r="V261" s="8"/>
      <c r="W261" s="8"/>
      <c r="X261" s="8"/>
    </row>
    <row r="262" spans="1:24" ht="56.25" x14ac:dyDescent="0.25">
      <c r="A262" s="5" t="s">
        <v>336</v>
      </c>
      <c r="B262" s="5" t="s">
        <v>28</v>
      </c>
      <c r="C262" s="5" t="s">
        <v>152</v>
      </c>
      <c r="D262" s="11">
        <v>1</v>
      </c>
      <c r="E262" s="11">
        <v>1</v>
      </c>
      <c r="F262" s="12">
        <v>1701</v>
      </c>
      <c r="G262" s="5" t="str">
        <f t="shared" si="3"/>
        <v>53</v>
      </c>
      <c r="H262" s="5">
        <v>530813</v>
      </c>
      <c r="I262" s="6" t="str">
        <f>+IFERROR(VLOOKUP(H262,[1]CATALOGO!$B$2:$C$98,2,0),"")</f>
        <v>Repuestos y Accesorios</v>
      </c>
      <c r="J262" s="11">
        <v>2</v>
      </c>
      <c r="K262" s="8">
        <v>558</v>
      </c>
      <c r="L262" s="8">
        <v>1320</v>
      </c>
      <c r="M262" s="8"/>
      <c r="N262" s="8"/>
      <c r="O262" s="8"/>
      <c r="P262" s="8"/>
      <c r="Q262" s="8"/>
      <c r="R262" s="8"/>
      <c r="S262" s="8"/>
      <c r="T262" s="8">
        <v>1320</v>
      </c>
      <c r="U262" s="8"/>
      <c r="V262" s="8"/>
      <c r="W262" s="8"/>
      <c r="X262" s="8"/>
    </row>
    <row r="263" spans="1:24" ht="56.25" x14ac:dyDescent="0.25">
      <c r="A263" s="5" t="s">
        <v>337</v>
      </c>
      <c r="B263" s="5" t="s">
        <v>28</v>
      </c>
      <c r="C263" s="5" t="s">
        <v>152</v>
      </c>
      <c r="D263" s="11">
        <v>1</v>
      </c>
      <c r="E263" s="11">
        <v>1</v>
      </c>
      <c r="F263" s="12">
        <v>1701</v>
      </c>
      <c r="G263" s="5" t="str">
        <f t="shared" si="3"/>
        <v>53</v>
      </c>
      <c r="H263" s="5">
        <v>530826</v>
      </c>
      <c r="I263" s="6" t="str">
        <f>+IFERROR(VLOOKUP(H263,[1]CATALOGO!$B$2:$C$98,2,0),"")</f>
        <v>Dispositivos Medicos de Uso General</v>
      </c>
      <c r="J263" s="11">
        <v>2</v>
      </c>
      <c r="K263" s="8">
        <v>12090</v>
      </c>
      <c r="L263" s="8">
        <v>0</v>
      </c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</row>
    <row r="264" spans="1:24" ht="56.25" x14ac:dyDescent="0.25">
      <c r="A264" s="5" t="s">
        <v>338</v>
      </c>
      <c r="B264" s="5" t="s">
        <v>28</v>
      </c>
      <c r="C264" s="5" t="s">
        <v>152</v>
      </c>
      <c r="D264" s="11">
        <v>1</v>
      </c>
      <c r="E264" s="11">
        <v>1</v>
      </c>
      <c r="F264" s="12">
        <v>1701</v>
      </c>
      <c r="G264" s="5" t="str">
        <f t="shared" si="3"/>
        <v>84</v>
      </c>
      <c r="H264" s="5">
        <v>840113</v>
      </c>
      <c r="I264" s="6" t="str">
        <f>+IFERROR(VLOOKUP(H264,[1]CATALOGO!$B$2:$C$98,2,0),"")</f>
        <v/>
      </c>
      <c r="J264" s="11">
        <v>2</v>
      </c>
      <c r="K264" s="8">
        <v>1431</v>
      </c>
      <c r="L264" s="9">
        <v>0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</row>
    <row r="265" spans="1:24" ht="45" x14ac:dyDescent="0.25">
      <c r="A265" s="5" t="s">
        <v>339</v>
      </c>
      <c r="B265" s="5" t="s">
        <v>120</v>
      </c>
      <c r="C265" s="5" t="s">
        <v>120</v>
      </c>
      <c r="D265" s="11">
        <v>55</v>
      </c>
      <c r="E265" s="11">
        <v>1</v>
      </c>
      <c r="F265" s="12">
        <v>1701</v>
      </c>
      <c r="G265" s="5" t="str">
        <f t="shared" si="3"/>
        <v>53</v>
      </c>
      <c r="H265" s="5">
        <v>530303</v>
      </c>
      <c r="I265" s="6" t="str">
        <f>+IFERROR(VLOOKUP(H265,[1]CATALOGO!$B$2:$C$98,2,0),"")</f>
        <v>Viaticos y Subsistencias en el Interior</v>
      </c>
      <c r="J265" s="11">
        <v>2</v>
      </c>
      <c r="K265" s="8">
        <v>1588</v>
      </c>
      <c r="L265" s="8">
        <v>8875.1</v>
      </c>
      <c r="M265" s="8"/>
      <c r="N265" s="8"/>
      <c r="O265" s="8"/>
      <c r="P265" s="8"/>
      <c r="Q265" s="8"/>
      <c r="R265" s="8"/>
      <c r="S265" s="8">
        <v>2500</v>
      </c>
      <c r="T265" s="8">
        <v>1666.5</v>
      </c>
      <c r="U265" s="8"/>
      <c r="V265" s="8"/>
      <c r="W265" s="8">
        <v>4708.6000000000004</v>
      </c>
      <c r="X265" s="8"/>
    </row>
    <row r="266" spans="1:24" ht="56.25" x14ac:dyDescent="0.25">
      <c r="A266" s="5" t="s">
        <v>340</v>
      </c>
      <c r="B266" s="5" t="s">
        <v>120</v>
      </c>
      <c r="C266" s="5" t="s">
        <v>120</v>
      </c>
      <c r="D266" s="11">
        <v>55</v>
      </c>
      <c r="E266" s="11">
        <v>1</v>
      </c>
      <c r="F266" s="12">
        <v>1701</v>
      </c>
      <c r="G266" s="5" t="str">
        <f t="shared" si="3"/>
        <v>99</v>
      </c>
      <c r="H266" s="5">
        <v>990102</v>
      </c>
      <c r="I266" s="6" t="str">
        <f>+IFERROR(VLOOKUP(H266,[1]CATALOGO!$B$2:$C$98,2,0),"")</f>
        <v>Obligaciones de Ejercicios Anteriores por Egresos en Servicios</v>
      </c>
      <c r="J266" s="11">
        <v>2</v>
      </c>
      <c r="K266" s="8">
        <v>1249.7899999999997</v>
      </c>
      <c r="L266" s="8">
        <v>410.39</v>
      </c>
      <c r="M266" s="8"/>
      <c r="N266" s="8"/>
      <c r="O266" s="8"/>
      <c r="P266" s="8">
        <f>181.83+228.56</f>
        <v>410.39</v>
      </c>
      <c r="Q266" s="8"/>
      <c r="R266" s="8"/>
      <c r="S266" s="8"/>
      <c r="T266" s="8"/>
      <c r="U266" s="8"/>
      <c r="V266" s="8"/>
      <c r="W266" s="8"/>
      <c r="X266" s="8"/>
    </row>
    <row r="267" spans="1:24" ht="56.25" x14ac:dyDescent="0.25">
      <c r="A267" s="5" t="s">
        <v>341</v>
      </c>
      <c r="B267" s="5" t="s">
        <v>28</v>
      </c>
      <c r="C267" s="5" t="s">
        <v>28</v>
      </c>
      <c r="D267" s="11">
        <v>1</v>
      </c>
      <c r="E267" s="11">
        <v>1</v>
      </c>
      <c r="F267" s="12">
        <v>1701</v>
      </c>
      <c r="G267" s="5" t="str">
        <f>LEFT(H267,2)</f>
        <v>99</v>
      </c>
      <c r="H267" s="5">
        <v>990102</v>
      </c>
      <c r="I267" s="6" t="str">
        <f>+IFERROR(VLOOKUP(H267,[1]CATALOGO!$B$2:$C$98,2,0),"")</f>
        <v>Obligaciones de Ejercicios Anteriores por Egresos en Servicios</v>
      </c>
      <c r="J267" s="11">
        <v>2</v>
      </c>
      <c r="K267" s="8">
        <v>0</v>
      </c>
      <c r="L267" s="8">
        <v>853.11</v>
      </c>
      <c r="M267" s="8"/>
      <c r="N267" s="8"/>
      <c r="O267" s="8"/>
      <c r="P267" s="8">
        <f>756.62+96.49</f>
        <v>853.11</v>
      </c>
      <c r="Q267" s="8"/>
      <c r="R267" s="8"/>
      <c r="S267" s="8"/>
      <c r="T267" s="8"/>
      <c r="U267" s="8"/>
      <c r="V267" s="8"/>
      <c r="W267" s="8"/>
      <c r="X267" s="8"/>
    </row>
    <row r="268" spans="1:24" ht="33.75" x14ac:dyDescent="0.25">
      <c r="A268" s="5" t="s">
        <v>342</v>
      </c>
      <c r="B268" s="5" t="s">
        <v>28</v>
      </c>
      <c r="C268" s="5" t="s">
        <v>28</v>
      </c>
      <c r="D268" s="11">
        <v>1</v>
      </c>
      <c r="E268" s="11">
        <v>1</v>
      </c>
      <c r="F268" s="12">
        <v>1701</v>
      </c>
      <c r="G268" s="5" t="s">
        <v>267</v>
      </c>
      <c r="H268" s="5">
        <v>530303</v>
      </c>
      <c r="I268" s="6" t="str">
        <f>+IFERROR(VLOOKUP(H268,[1]CATALOGO!$B$2:$C$98,2,0),"")</f>
        <v>Viaticos y Subsistencias en el Interior</v>
      </c>
      <c r="J268" s="11">
        <v>2</v>
      </c>
      <c r="K268" s="8">
        <v>13300.34</v>
      </c>
      <c r="L268" s="8">
        <v>0</v>
      </c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</row>
    <row r="269" spans="1:24" ht="33.75" x14ac:dyDescent="0.25">
      <c r="A269" s="5" t="s">
        <v>343</v>
      </c>
      <c r="B269" s="5" t="s">
        <v>28</v>
      </c>
      <c r="C269" s="5" t="s">
        <v>28</v>
      </c>
      <c r="D269" s="11">
        <v>55</v>
      </c>
      <c r="E269" s="11">
        <v>1</v>
      </c>
      <c r="F269" s="12">
        <v>1701</v>
      </c>
      <c r="G269" s="5" t="str">
        <f>LEFT(H269,2)</f>
        <v>53</v>
      </c>
      <c r="H269" s="5">
        <v>530303</v>
      </c>
      <c r="I269" s="6" t="str">
        <f>+IFERROR(VLOOKUP(H269,[1]CATALOGO!$B$2:$C$98,2,0),"")</f>
        <v>Viaticos y Subsistencias en el Interior</v>
      </c>
      <c r="J269" s="11">
        <v>2</v>
      </c>
      <c r="K269" s="8">
        <v>836.83</v>
      </c>
      <c r="L269" s="8">
        <v>10341.78999999999</v>
      </c>
      <c r="M269" s="8"/>
      <c r="N269" s="8"/>
      <c r="O269" s="8"/>
      <c r="P269" s="8"/>
      <c r="Q269" s="8"/>
      <c r="R269" s="8"/>
      <c r="S269" s="8"/>
      <c r="T269" s="8">
        <v>4396.75</v>
      </c>
      <c r="U269" s="8"/>
      <c r="V269" s="8">
        <f>2235.36999999999+459.13</f>
        <v>2694.49999999999</v>
      </c>
      <c r="W269" s="8">
        <v>1015.79</v>
      </c>
      <c r="X269" s="8">
        <v>2234.75</v>
      </c>
    </row>
    <row r="270" spans="1:24" ht="56.25" x14ac:dyDescent="0.25">
      <c r="A270" s="5" t="s">
        <v>344</v>
      </c>
      <c r="B270" s="5" t="s">
        <v>44</v>
      </c>
      <c r="C270" s="5" t="s">
        <v>45</v>
      </c>
      <c r="D270" s="11">
        <v>1</v>
      </c>
      <c r="E270" s="11">
        <v>1</v>
      </c>
      <c r="F270" s="12">
        <v>1701</v>
      </c>
      <c r="G270" s="5" t="str">
        <f t="shared" ref="G270:G291" si="4">LEFT(H270,2)</f>
        <v>53</v>
      </c>
      <c r="H270" s="5">
        <v>530704</v>
      </c>
      <c r="I270" s="6" t="str">
        <f>+IFERROR(VLOOKUP(H270,[1]CATALOGO!$B$2:$C$98,2,0),"")</f>
        <v>Mantenimiento y Reparacion de Equipos y Sistemas Informaticos</v>
      </c>
      <c r="J270" s="11">
        <v>2</v>
      </c>
      <c r="K270" s="8">
        <v>885.11</v>
      </c>
      <c r="L270" s="8">
        <v>0</v>
      </c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</row>
    <row r="271" spans="1:24" ht="56.25" x14ac:dyDescent="0.25">
      <c r="A271" s="5" t="s">
        <v>345</v>
      </c>
      <c r="B271" s="5" t="s">
        <v>44</v>
      </c>
      <c r="C271" s="5" t="s">
        <v>45</v>
      </c>
      <c r="D271" s="11">
        <v>1</v>
      </c>
      <c r="E271" s="11">
        <v>1</v>
      </c>
      <c r="F271" s="12">
        <v>1701</v>
      </c>
      <c r="G271" s="5" t="str">
        <f t="shared" si="4"/>
        <v>53</v>
      </c>
      <c r="H271" s="5">
        <v>530704</v>
      </c>
      <c r="I271" s="6" t="str">
        <f>+IFERROR(VLOOKUP(H271,[1]CATALOGO!$B$2:$C$98,2,0),"")</f>
        <v>Mantenimiento y Reparacion de Equipos y Sistemas Informaticos</v>
      </c>
      <c r="J271" s="11">
        <v>2</v>
      </c>
      <c r="K271" s="8">
        <v>21660</v>
      </c>
      <c r="L271" s="8">
        <v>0</v>
      </c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</row>
    <row r="272" spans="1:24" ht="56.25" x14ac:dyDescent="0.25">
      <c r="A272" s="5" t="s">
        <v>346</v>
      </c>
      <c r="B272" s="5" t="s">
        <v>44</v>
      </c>
      <c r="C272" s="5" t="s">
        <v>45</v>
      </c>
      <c r="D272" s="11">
        <v>1</v>
      </c>
      <c r="E272" s="11">
        <v>1</v>
      </c>
      <c r="F272" s="12">
        <v>1701</v>
      </c>
      <c r="G272" s="5" t="str">
        <f t="shared" si="4"/>
        <v>53</v>
      </c>
      <c r="H272" s="5">
        <v>530704</v>
      </c>
      <c r="I272" s="6" t="str">
        <f>+IFERROR(VLOOKUP(H272,[1]CATALOGO!$B$2:$C$98,2,0),"")</f>
        <v>Mantenimiento y Reparacion de Equipos y Sistemas Informaticos</v>
      </c>
      <c r="J272" s="11">
        <v>2</v>
      </c>
      <c r="K272" s="8">
        <v>42860</v>
      </c>
      <c r="L272" s="8">
        <v>0</v>
      </c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</row>
    <row r="273" spans="1:24" ht="45" x14ac:dyDescent="0.25">
      <c r="A273" s="5" t="s">
        <v>347</v>
      </c>
      <c r="B273" s="5" t="s">
        <v>25</v>
      </c>
      <c r="C273" s="5" t="s">
        <v>95</v>
      </c>
      <c r="D273" s="11">
        <v>1</v>
      </c>
      <c r="E273" s="11">
        <v>1</v>
      </c>
      <c r="F273" s="12">
        <v>1701</v>
      </c>
      <c r="G273" s="5" t="str">
        <f t="shared" si="4"/>
        <v>53</v>
      </c>
      <c r="H273" s="5">
        <v>530702</v>
      </c>
      <c r="I273" s="6" t="str">
        <f>+IFERROR(VLOOKUP(H273,[1]CATALOGO!$B$2:$C$98,2,0),"")</f>
        <v>Arrendamiento y Licencias de Uso de Paquetes Informaticos</v>
      </c>
      <c r="J273" s="11">
        <v>2</v>
      </c>
      <c r="K273" s="8">
        <v>810</v>
      </c>
      <c r="L273" s="8">
        <v>38300</v>
      </c>
      <c r="M273" s="8"/>
      <c r="N273" s="8"/>
      <c r="O273" s="8"/>
      <c r="P273" s="8"/>
      <c r="Q273" s="8"/>
      <c r="R273" s="8"/>
      <c r="S273" s="8">
        <v>38300</v>
      </c>
      <c r="T273" s="8"/>
      <c r="U273" s="8"/>
      <c r="V273" s="8"/>
      <c r="W273" s="8"/>
      <c r="X273" s="8"/>
    </row>
    <row r="274" spans="1:24" ht="78.75" x14ac:dyDescent="0.25">
      <c r="A274" s="5" t="s">
        <v>348</v>
      </c>
      <c r="B274" s="5" t="s">
        <v>25</v>
      </c>
      <c r="C274" s="5" t="s">
        <v>95</v>
      </c>
      <c r="D274" s="11">
        <v>1</v>
      </c>
      <c r="E274" s="11">
        <v>1</v>
      </c>
      <c r="F274" s="12">
        <v>1701</v>
      </c>
      <c r="G274" s="5" t="str">
        <f t="shared" si="4"/>
        <v>53</v>
      </c>
      <c r="H274" s="5">
        <v>530701</v>
      </c>
      <c r="I274" s="6" t="str">
        <f>+IFERROR(VLOOKUP(H274,[1]CATALOGO!$B$2:$C$98,2,0),"")</f>
        <v>Desarrollo, Actualización, Asistencia Técnica y Soporte de Sistemas Informáticos</v>
      </c>
      <c r="J274" s="11">
        <v>2</v>
      </c>
      <c r="K274" s="8">
        <v>750</v>
      </c>
      <c r="L274" s="8">
        <v>1500</v>
      </c>
      <c r="M274" s="8"/>
      <c r="N274" s="8"/>
      <c r="O274" s="8"/>
      <c r="P274" s="8"/>
      <c r="Q274" s="8"/>
      <c r="R274" s="8"/>
      <c r="S274" s="8">
        <v>1500</v>
      </c>
      <c r="T274" s="8"/>
      <c r="U274" s="8"/>
      <c r="V274" s="8"/>
      <c r="W274" s="8"/>
      <c r="X274" s="8"/>
    </row>
    <row r="275" spans="1:24" ht="45" x14ac:dyDescent="0.25">
      <c r="A275" s="5" t="s">
        <v>349</v>
      </c>
      <c r="B275" s="5" t="s">
        <v>25</v>
      </c>
      <c r="C275" s="5" t="s">
        <v>95</v>
      </c>
      <c r="D275" s="11">
        <v>1</v>
      </c>
      <c r="E275" s="11">
        <v>1</v>
      </c>
      <c r="F275" s="12">
        <v>1701</v>
      </c>
      <c r="G275" s="5" t="str">
        <f t="shared" si="4"/>
        <v>53</v>
      </c>
      <c r="H275" s="5">
        <v>530702</v>
      </c>
      <c r="I275" s="6" t="str">
        <f>+IFERROR(VLOOKUP(H275,[1]CATALOGO!$B$2:$C$98,2,0),"")</f>
        <v>Arrendamiento y Licencias de Uso de Paquetes Informaticos</v>
      </c>
      <c r="J275" s="11">
        <v>2</v>
      </c>
      <c r="K275" s="8">
        <v>750</v>
      </c>
      <c r="L275" s="8">
        <v>2825.45</v>
      </c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>
        <v>2825.45</v>
      </c>
      <c r="X275" s="8"/>
    </row>
    <row r="276" spans="1:24" ht="45" x14ac:dyDescent="0.25">
      <c r="A276" s="5" t="s">
        <v>350</v>
      </c>
      <c r="B276" s="5" t="s">
        <v>25</v>
      </c>
      <c r="C276" s="5" t="s">
        <v>95</v>
      </c>
      <c r="D276" s="11">
        <v>1</v>
      </c>
      <c r="E276" s="11">
        <v>1</v>
      </c>
      <c r="F276" s="12">
        <v>1701</v>
      </c>
      <c r="G276" s="5" t="str">
        <f t="shared" si="4"/>
        <v>53</v>
      </c>
      <c r="H276" s="5">
        <v>530813</v>
      </c>
      <c r="I276" s="6" t="str">
        <f>+IFERROR(VLOOKUP(H276,[1]CATALOGO!$B$2:$C$98,2,0),"")</f>
        <v>Repuestos y Accesorios</v>
      </c>
      <c r="J276" s="11">
        <v>2</v>
      </c>
      <c r="K276" s="8">
        <v>40123.879999999997</v>
      </c>
      <c r="L276" s="8">
        <v>1827.5</v>
      </c>
      <c r="M276" s="8"/>
      <c r="N276" s="8"/>
      <c r="O276" s="8"/>
      <c r="P276" s="8"/>
      <c r="Q276" s="8"/>
      <c r="R276" s="8">
        <v>1827.5</v>
      </c>
      <c r="S276" s="8"/>
      <c r="T276" s="8"/>
      <c r="U276" s="8"/>
      <c r="V276" s="8"/>
      <c r="W276" s="8"/>
      <c r="X276" s="8"/>
    </row>
    <row r="277" spans="1:24" ht="90" x14ac:dyDescent="0.25">
      <c r="A277" s="5" t="s">
        <v>351</v>
      </c>
      <c r="B277" s="5" t="s">
        <v>44</v>
      </c>
      <c r="C277" s="5" t="s">
        <v>45</v>
      </c>
      <c r="D277" s="11">
        <v>1</v>
      </c>
      <c r="E277" s="11">
        <v>1</v>
      </c>
      <c r="F277" s="12">
        <v>1701</v>
      </c>
      <c r="G277" s="5" t="str">
        <f t="shared" si="4"/>
        <v>53</v>
      </c>
      <c r="H277" s="5">
        <v>530402</v>
      </c>
      <c r="I277" s="6" t="str">
        <f>+IFERROR(VLOOKUP(H277,[1]CATALOGO!$B$2:$C$98,2,0),"")</f>
        <v>Edificios- Locales- Residencias y Cableado Estructurado (Instalacion - Mantenimiento y Reparacion)</v>
      </c>
      <c r="J277" s="11">
        <v>2</v>
      </c>
      <c r="K277" s="8">
        <v>14200</v>
      </c>
      <c r="L277" s="8">
        <v>0</v>
      </c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</row>
    <row r="278" spans="1:24" ht="45" x14ac:dyDescent="0.25">
      <c r="A278" s="5" t="s">
        <v>352</v>
      </c>
      <c r="B278" s="5" t="s">
        <v>25</v>
      </c>
      <c r="C278" s="5" t="s">
        <v>95</v>
      </c>
      <c r="D278" s="11">
        <v>1</v>
      </c>
      <c r="E278" s="11">
        <v>1</v>
      </c>
      <c r="F278" s="12">
        <v>1701</v>
      </c>
      <c r="G278" s="5" t="str">
        <f t="shared" si="4"/>
        <v>53</v>
      </c>
      <c r="H278" s="5">
        <v>530702</v>
      </c>
      <c r="I278" s="6" t="str">
        <f>+IFERROR(VLOOKUP(H278,[1]CATALOGO!$B$2:$C$98,2,0),"")</f>
        <v>Arrendamiento y Licencias de Uso de Paquetes Informaticos</v>
      </c>
      <c r="J278" s="11">
        <v>2</v>
      </c>
      <c r="K278" s="8">
        <v>7200</v>
      </c>
      <c r="L278" s="8">
        <v>875</v>
      </c>
      <c r="M278" s="8"/>
      <c r="N278" s="8"/>
      <c r="O278" s="8"/>
      <c r="P278" s="8"/>
      <c r="Q278" s="8">
        <v>875</v>
      </c>
      <c r="R278" s="8"/>
      <c r="S278" s="8"/>
      <c r="T278" s="8"/>
      <c r="U278" s="8"/>
      <c r="V278" s="8"/>
      <c r="W278" s="8"/>
      <c r="X278" s="8"/>
    </row>
    <row r="279" spans="1:24" ht="56.25" x14ac:dyDescent="0.25">
      <c r="A279" s="5" t="s">
        <v>353</v>
      </c>
      <c r="B279" s="5" t="s">
        <v>25</v>
      </c>
      <c r="C279" s="5" t="s">
        <v>95</v>
      </c>
      <c r="D279" s="11">
        <v>1</v>
      </c>
      <c r="E279" s="11">
        <v>1</v>
      </c>
      <c r="F279" s="12">
        <v>1701</v>
      </c>
      <c r="G279" s="5" t="str">
        <f t="shared" si="4"/>
        <v>53</v>
      </c>
      <c r="H279" s="5">
        <v>530704</v>
      </c>
      <c r="I279" s="6" t="str">
        <f>+IFERROR(VLOOKUP(H279,[1]CATALOGO!$B$2:$C$98,2,0),"")</f>
        <v>Mantenimiento y Reparacion de Equipos y Sistemas Informaticos</v>
      </c>
      <c r="J279" s="11">
        <v>2</v>
      </c>
      <c r="K279" s="8">
        <v>4600</v>
      </c>
      <c r="L279" s="8">
        <v>5505</v>
      </c>
      <c r="M279" s="8"/>
      <c r="N279" s="8"/>
      <c r="O279" s="8"/>
      <c r="P279" s="8"/>
      <c r="Q279" s="8">
        <v>2202</v>
      </c>
      <c r="R279" s="8"/>
      <c r="S279" s="8">
        <v>1651.5</v>
      </c>
      <c r="T279" s="8"/>
      <c r="U279" s="8"/>
      <c r="V279" s="8">
        <v>1651.5</v>
      </c>
      <c r="W279" s="8"/>
      <c r="X279" s="8"/>
    </row>
    <row r="280" spans="1:24" ht="56.25" x14ac:dyDescent="0.25">
      <c r="A280" s="5" t="s">
        <v>354</v>
      </c>
      <c r="B280" s="5" t="s">
        <v>44</v>
      </c>
      <c r="C280" s="5" t="s">
        <v>45</v>
      </c>
      <c r="D280" s="11">
        <v>1</v>
      </c>
      <c r="E280" s="11">
        <v>1</v>
      </c>
      <c r="F280" s="12">
        <v>1701</v>
      </c>
      <c r="G280" s="5" t="str">
        <f t="shared" si="4"/>
        <v>53</v>
      </c>
      <c r="H280" s="5">
        <v>530704</v>
      </c>
      <c r="I280" s="6" t="str">
        <f>+IFERROR(VLOOKUP(H280,[1]CATALOGO!$B$2:$C$98,2,0),"")</f>
        <v>Mantenimiento y Reparacion de Equipos y Sistemas Informaticos</v>
      </c>
      <c r="J280" s="11">
        <v>2</v>
      </c>
      <c r="K280" s="8">
        <v>645.19999999999982</v>
      </c>
      <c r="L280" s="8">
        <v>0</v>
      </c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</row>
    <row r="281" spans="1:24" ht="22.5" x14ac:dyDescent="0.25">
      <c r="A281" s="5" t="s">
        <v>355</v>
      </c>
      <c r="B281" s="5" t="s">
        <v>44</v>
      </c>
      <c r="C281" s="5" t="s">
        <v>45</v>
      </c>
      <c r="D281" s="11">
        <v>1</v>
      </c>
      <c r="E281" s="11">
        <v>1</v>
      </c>
      <c r="F281" s="12">
        <v>1701</v>
      </c>
      <c r="G281" s="5" t="str">
        <f t="shared" si="4"/>
        <v>53</v>
      </c>
      <c r="H281" s="5">
        <v>530813</v>
      </c>
      <c r="I281" s="6" t="str">
        <f>+IFERROR(VLOOKUP(H281,[1]CATALOGO!$B$2:$C$98,2,0),"")</f>
        <v>Repuestos y Accesorios</v>
      </c>
      <c r="J281" s="11">
        <v>2</v>
      </c>
      <c r="K281" s="8">
        <v>1450</v>
      </c>
      <c r="L281" s="8">
        <v>0</v>
      </c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</row>
    <row r="282" spans="1:24" ht="45" x14ac:dyDescent="0.25">
      <c r="A282" s="5" t="s">
        <v>356</v>
      </c>
      <c r="B282" s="5" t="s">
        <v>44</v>
      </c>
      <c r="C282" s="5" t="s">
        <v>45</v>
      </c>
      <c r="D282" s="11">
        <v>1</v>
      </c>
      <c r="E282" s="11">
        <v>1</v>
      </c>
      <c r="F282" s="12">
        <v>1701</v>
      </c>
      <c r="G282" s="5" t="str">
        <f t="shared" si="4"/>
        <v>84</v>
      </c>
      <c r="H282" s="5">
        <v>840107</v>
      </c>
      <c r="I282" s="6" t="str">
        <f>+IFERROR(VLOOKUP(H282,[1]CATALOGO!$B$2:$C$98,2,0),"")</f>
        <v>Equipos, Sistemas y Paquetes Informáticos</v>
      </c>
      <c r="J282" s="11">
        <v>2</v>
      </c>
      <c r="K282" s="8">
        <v>5505</v>
      </c>
      <c r="L282" s="8">
        <v>0</v>
      </c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</row>
    <row r="283" spans="1:24" ht="45" x14ac:dyDescent="0.25">
      <c r="A283" s="5" t="s">
        <v>357</v>
      </c>
      <c r="B283" s="5" t="s">
        <v>44</v>
      </c>
      <c r="C283" s="5" t="s">
        <v>45</v>
      </c>
      <c r="D283" s="11">
        <v>1</v>
      </c>
      <c r="E283" s="11">
        <v>1</v>
      </c>
      <c r="F283" s="12">
        <v>1701</v>
      </c>
      <c r="G283" s="5" t="str">
        <f t="shared" si="4"/>
        <v>84</v>
      </c>
      <c r="H283" s="5">
        <v>840107</v>
      </c>
      <c r="I283" s="6" t="str">
        <f>+IFERROR(VLOOKUP(H283,[1]CATALOGO!$B$2:$C$98,2,0),"")</f>
        <v>Equipos, Sistemas y Paquetes Informáticos</v>
      </c>
      <c r="J283" s="11">
        <v>2</v>
      </c>
      <c r="K283" s="8">
        <v>600</v>
      </c>
      <c r="L283" s="8">
        <v>0</v>
      </c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</row>
    <row r="284" spans="1:24" ht="45" x14ac:dyDescent="0.25">
      <c r="A284" s="5" t="s">
        <v>358</v>
      </c>
      <c r="B284" s="5" t="s">
        <v>25</v>
      </c>
      <c r="C284" s="5" t="s">
        <v>95</v>
      </c>
      <c r="D284" s="11">
        <v>1</v>
      </c>
      <c r="E284" s="11">
        <v>1</v>
      </c>
      <c r="F284" s="12">
        <v>1701</v>
      </c>
      <c r="G284" s="5" t="str">
        <f t="shared" si="4"/>
        <v>53</v>
      </c>
      <c r="H284" s="5">
        <v>530813</v>
      </c>
      <c r="I284" s="6" t="str">
        <f>+IFERROR(VLOOKUP(H284,[1]CATALOGO!$B$2:$C$98,2,0),"")</f>
        <v>Repuestos y Accesorios</v>
      </c>
      <c r="J284" s="11">
        <v>2</v>
      </c>
      <c r="K284" s="8">
        <v>1500</v>
      </c>
      <c r="L284" s="8">
        <v>3219</v>
      </c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15">
        <v>3219</v>
      </c>
      <c r="X284" s="8"/>
    </row>
    <row r="285" spans="1:24" ht="45" x14ac:dyDescent="0.25">
      <c r="A285" s="5" t="s">
        <v>359</v>
      </c>
      <c r="B285" s="5" t="s">
        <v>25</v>
      </c>
      <c r="C285" s="5" t="s">
        <v>95</v>
      </c>
      <c r="D285" s="11">
        <v>1</v>
      </c>
      <c r="E285" s="11">
        <v>1</v>
      </c>
      <c r="F285" s="12">
        <v>1701</v>
      </c>
      <c r="G285" s="5" t="str">
        <f t="shared" si="4"/>
        <v>53</v>
      </c>
      <c r="H285" s="5">
        <v>530702</v>
      </c>
      <c r="I285" s="6" t="str">
        <f>+IFERROR(VLOOKUP(H285,[1]CATALOGO!$B$2:$C$98,2,0),"")</f>
        <v>Arrendamiento y Licencias de Uso de Paquetes Informaticos</v>
      </c>
      <c r="J285" s="11">
        <v>2</v>
      </c>
      <c r="K285" s="8">
        <v>159777.33000000002</v>
      </c>
      <c r="L285" s="8">
        <v>37360</v>
      </c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>
        <v>37360</v>
      </c>
    </row>
    <row r="286" spans="1:24" ht="33.75" x14ac:dyDescent="0.25">
      <c r="A286" s="5" t="s">
        <v>360</v>
      </c>
      <c r="B286" s="5" t="s">
        <v>28</v>
      </c>
      <c r="C286" s="5" t="s">
        <v>29</v>
      </c>
      <c r="D286" s="5">
        <v>1</v>
      </c>
      <c r="E286" s="5">
        <v>1</v>
      </c>
      <c r="F286" s="5">
        <v>1701</v>
      </c>
      <c r="G286" s="5" t="str">
        <f t="shared" si="4"/>
        <v>53</v>
      </c>
      <c r="H286" s="5">
        <v>530813</v>
      </c>
      <c r="I286" s="6" t="str">
        <f>+IFERROR(VLOOKUP(H286,[1]CATALOGO!$B$2:$C$98,2,0),"")</f>
        <v>Repuestos y Accesorios</v>
      </c>
      <c r="J286" s="6">
        <v>2</v>
      </c>
      <c r="K286" s="8">
        <v>22000</v>
      </c>
      <c r="L286" s="8">
        <v>15669.85</v>
      </c>
      <c r="M286" s="8"/>
      <c r="N286" s="8"/>
      <c r="O286" s="8"/>
      <c r="P286" s="8"/>
      <c r="Q286" s="8">
        <v>15669.85</v>
      </c>
      <c r="R286" s="8"/>
      <c r="S286" s="8"/>
      <c r="T286" s="8"/>
      <c r="U286" s="8"/>
      <c r="V286" s="8"/>
      <c r="W286" s="8"/>
      <c r="X286" s="8"/>
    </row>
    <row r="287" spans="1:24" ht="56.25" x14ac:dyDescent="0.25">
      <c r="A287" s="5" t="s">
        <v>361</v>
      </c>
      <c r="B287" s="13" t="s">
        <v>207</v>
      </c>
      <c r="C287" s="5" t="s">
        <v>362</v>
      </c>
      <c r="D287" s="5">
        <v>55</v>
      </c>
      <c r="E287" s="5">
        <v>1</v>
      </c>
      <c r="F287" s="5">
        <v>1701</v>
      </c>
      <c r="G287" s="5" t="str">
        <f t="shared" si="4"/>
        <v>99</v>
      </c>
      <c r="H287" s="5">
        <v>990102</v>
      </c>
      <c r="I287" s="6" t="str">
        <f>+IFERROR(VLOOKUP(H287,[1]CATALOGO!$B$2:$C$98,2,0),"")</f>
        <v>Obligaciones de Ejercicios Anteriores por Egresos en Servicios</v>
      </c>
      <c r="J287" s="6">
        <v>2</v>
      </c>
      <c r="K287" s="8">
        <v>4239.29</v>
      </c>
      <c r="L287" s="8">
        <v>1713.6</v>
      </c>
      <c r="M287" s="8"/>
      <c r="N287" s="8"/>
      <c r="O287" s="8"/>
      <c r="P287" s="8">
        <v>1393.6</v>
      </c>
      <c r="Q287" s="8">
        <v>320</v>
      </c>
      <c r="R287" s="8"/>
      <c r="S287" s="8"/>
      <c r="T287" s="8"/>
      <c r="U287" s="8"/>
      <c r="V287" s="8"/>
      <c r="W287" s="8"/>
      <c r="X287" s="8"/>
    </row>
    <row r="288" spans="1:24" ht="33.75" x14ac:dyDescent="0.25">
      <c r="A288" s="5" t="s">
        <v>363</v>
      </c>
      <c r="B288" s="5" t="s">
        <v>28</v>
      </c>
      <c r="C288" s="5" t="s">
        <v>29</v>
      </c>
      <c r="D288" s="5">
        <v>1</v>
      </c>
      <c r="E288" s="5">
        <v>1</v>
      </c>
      <c r="F288" s="5">
        <v>1701</v>
      </c>
      <c r="G288" s="5" t="str">
        <f t="shared" si="4"/>
        <v>53</v>
      </c>
      <c r="H288" s="5">
        <v>530804</v>
      </c>
      <c r="I288" s="6" t="str">
        <f>+IFERROR(VLOOKUP(H288,[1]CATALOGO!$B$2:$C$98,2,0),"")</f>
        <v>Materiales de Oficina</v>
      </c>
      <c r="J288" s="6">
        <v>2</v>
      </c>
      <c r="K288" s="8">
        <v>39997.54</v>
      </c>
      <c r="L288" s="8">
        <v>1789.84</v>
      </c>
      <c r="M288" s="8"/>
      <c r="N288" s="8"/>
      <c r="O288" s="8"/>
      <c r="P288" s="8"/>
      <c r="Q288" s="8"/>
      <c r="R288" s="8"/>
      <c r="S288" s="8">
        <v>1789.84</v>
      </c>
      <c r="T288" s="8"/>
      <c r="U288" s="8"/>
      <c r="V288" s="8"/>
      <c r="W288" s="8"/>
      <c r="X288" s="8"/>
    </row>
    <row r="289" spans="1:24" ht="33.75" x14ac:dyDescent="0.25">
      <c r="A289" s="5" t="s">
        <v>364</v>
      </c>
      <c r="B289" s="5" t="s">
        <v>28</v>
      </c>
      <c r="C289" s="5" t="s">
        <v>29</v>
      </c>
      <c r="D289" s="11">
        <v>1</v>
      </c>
      <c r="E289" s="11">
        <v>1</v>
      </c>
      <c r="F289" s="12">
        <v>1701</v>
      </c>
      <c r="G289" s="5" t="str">
        <f t="shared" si="4"/>
        <v>53</v>
      </c>
      <c r="H289" s="5">
        <v>530106</v>
      </c>
      <c r="I289" s="6" t="str">
        <f>+IFERROR(VLOOKUP(H289,[1]CATALOGO!$B$2:$C$98,2,0),"")</f>
        <v>Servicio de Correo</v>
      </c>
      <c r="J289" s="11">
        <v>2</v>
      </c>
      <c r="K289" s="8">
        <v>15669.85</v>
      </c>
      <c r="L289" s="8">
        <v>190.7</v>
      </c>
      <c r="M289" s="8"/>
      <c r="N289" s="8"/>
      <c r="O289" s="8"/>
      <c r="P289" s="8"/>
      <c r="Q289" s="8"/>
      <c r="R289" s="8"/>
      <c r="S289" s="8">
        <v>40.700000000000003</v>
      </c>
      <c r="T289" s="8">
        <v>31.9</v>
      </c>
      <c r="U289" s="8">
        <v>27.45</v>
      </c>
      <c r="V289" s="8">
        <v>23.05</v>
      </c>
      <c r="W289" s="8">
        <v>19</v>
      </c>
      <c r="X289" s="8">
        <v>48.6</v>
      </c>
    </row>
    <row r="290" spans="1:24" ht="45" x14ac:dyDescent="0.25">
      <c r="A290" s="5" t="s">
        <v>365</v>
      </c>
      <c r="B290" s="5" t="s">
        <v>148</v>
      </c>
      <c r="C290" s="5" t="s">
        <v>148</v>
      </c>
      <c r="D290" s="11">
        <v>1</v>
      </c>
      <c r="E290" s="11">
        <v>1</v>
      </c>
      <c r="F290" s="12">
        <v>1701</v>
      </c>
      <c r="G290" s="5" t="str">
        <f t="shared" si="4"/>
        <v>84</v>
      </c>
      <c r="H290" s="5">
        <v>840107</v>
      </c>
      <c r="I290" s="6" t="str">
        <f>+IFERROR(VLOOKUP(H290,[1]CATALOGO!$B$2:$C$98,2,0),"")</f>
        <v>Equipos, Sistemas y Paquetes Informáticos</v>
      </c>
      <c r="J290" s="11">
        <v>2</v>
      </c>
      <c r="K290" s="8">
        <v>1729.6</v>
      </c>
      <c r="L290" s="9">
        <v>0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</row>
    <row r="291" spans="1:24" ht="22.5" x14ac:dyDescent="0.25">
      <c r="A291" s="5" t="s">
        <v>366</v>
      </c>
      <c r="B291" s="5" t="s">
        <v>44</v>
      </c>
      <c r="C291" s="5" t="s">
        <v>45</v>
      </c>
      <c r="D291" s="11">
        <v>1</v>
      </c>
      <c r="E291" s="11">
        <v>1</v>
      </c>
      <c r="F291" s="12">
        <v>1701</v>
      </c>
      <c r="G291" s="5" t="str">
        <f t="shared" si="4"/>
        <v>53</v>
      </c>
      <c r="H291" s="5">
        <v>530302</v>
      </c>
      <c r="I291" s="6" t="str">
        <f>+IFERROR(VLOOKUP(H291,[1]CATALOGO!$B$2:$C$98,2,0),"")</f>
        <v>Pasajes al Exterior</v>
      </c>
      <c r="J291" s="11">
        <v>2</v>
      </c>
      <c r="K291" s="8">
        <v>2210.8000000000002</v>
      </c>
      <c r="L291" s="8">
        <v>0</v>
      </c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</row>
    <row r="292" spans="1:24" ht="56.25" x14ac:dyDescent="0.25">
      <c r="A292" s="5" t="s">
        <v>367</v>
      </c>
      <c r="B292" s="5" t="s">
        <v>120</v>
      </c>
      <c r="C292" s="5" t="s">
        <v>121</v>
      </c>
      <c r="D292" s="11">
        <v>55</v>
      </c>
      <c r="E292" s="11">
        <v>1</v>
      </c>
      <c r="F292" s="12">
        <v>1701</v>
      </c>
      <c r="G292" s="5" t="str">
        <f>LEFT(H292,2)</f>
        <v>53</v>
      </c>
      <c r="H292" s="5">
        <v>530702</v>
      </c>
      <c r="I292" s="6" t="str">
        <f>+IFERROR(VLOOKUP(H292,[1]CATALOGO!$B$2:$C$98,2,0),"")</f>
        <v>Arrendamiento y Licencias de Uso de Paquetes Informaticos</v>
      </c>
      <c r="J292" s="11">
        <v>2</v>
      </c>
      <c r="K292" s="8">
        <v>3000</v>
      </c>
      <c r="L292" s="8">
        <v>57026</v>
      </c>
      <c r="M292" s="8"/>
      <c r="N292" s="8"/>
      <c r="O292" s="8"/>
      <c r="P292" s="8"/>
      <c r="Q292" s="8"/>
      <c r="R292" s="8"/>
      <c r="S292" s="8"/>
      <c r="T292" s="8"/>
      <c r="U292" s="8">
        <v>57026</v>
      </c>
      <c r="V292" s="8"/>
      <c r="W292" s="8"/>
      <c r="X292" s="8"/>
    </row>
    <row r="293" spans="1:24" ht="56.25" x14ac:dyDescent="0.25">
      <c r="A293" s="5" t="s">
        <v>368</v>
      </c>
      <c r="B293" s="5" t="s">
        <v>120</v>
      </c>
      <c r="C293" s="5" t="s">
        <v>121</v>
      </c>
      <c r="D293" s="11">
        <v>55</v>
      </c>
      <c r="E293" s="11">
        <v>1</v>
      </c>
      <c r="F293" s="12">
        <v>1701</v>
      </c>
      <c r="G293" s="5" t="str">
        <f>LEFT(H293,2)</f>
        <v>53</v>
      </c>
      <c r="H293" s="5">
        <v>530702</v>
      </c>
      <c r="I293" s="6" t="str">
        <f>+IFERROR(VLOOKUP(H293,[1]CATALOGO!$B$2:$C$98,2,0),"")</f>
        <v>Arrendamiento y Licencias de Uso de Paquetes Informaticos</v>
      </c>
      <c r="J293" s="11">
        <v>2</v>
      </c>
      <c r="K293" s="8">
        <v>0</v>
      </c>
      <c r="L293" s="8">
        <v>107964.71</v>
      </c>
      <c r="M293" s="8"/>
      <c r="N293" s="8"/>
      <c r="O293" s="8"/>
      <c r="P293" s="8"/>
      <c r="Q293" s="8"/>
      <c r="R293" s="8"/>
      <c r="S293" s="8"/>
      <c r="T293" s="8"/>
      <c r="U293" s="8">
        <v>107964.71</v>
      </c>
      <c r="V293" s="8"/>
      <c r="W293" s="8"/>
      <c r="X293" s="8"/>
    </row>
    <row r="294" spans="1:24" ht="45" x14ac:dyDescent="0.25">
      <c r="A294" s="5" t="s">
        <v>369</v>
      </c>
      <c r="B294" s="5" t="s">
        <v>120</v>
      </c>
      <c r="C294" s="5" t="s">
        <v>130</v>
      </c>
      <c r="D294" s="11">
        <v>55</v>
      </c>
      <c r="E294" s="11">
        <v>1</v>
      </c>
      <c r="F294" s="12">
        <v>1701</v>
      </c>
      <c r="G294" s="5" t="str">
        <f>LEFT(H294,2)</f>
        <v>53</v>
      </c>
      <c r="H294" s="5">
        <v>530239</v>
      </c>
      <c r="I294" s="6" t="str">
        <f>+IFERROR(VLOOKUP(H294,[1]CATALOGO!$B$2:$C$98,2,0),"")</f>
        <v>Membrecias</v>
      </c>
      <c r="J294" s="11">
        <v>2</v>
      </c>
      <c r="K294" s="8">
        <v>129.07</v>
      </c>
      <c r="L294" s="8">
        <v>8352.49</v>
      </c>
      <c r="M294" s="8"/>
      <c r="N294" s="8"/>
      <c r="O294" s="8"/>
      <c r="P294" s="8"/>
      <c r="Q294" s="8">
        <v>8352.49</v>
      </c>
      <c r="R294" s="8"/>
      <c r="S294" s="8"/>
      <c r="T294" s="8"/>
      <c r="U294" s="8"/>
      <c r="V294" s="8"/>
      <c r="W294" s="8"/>
      <c r="X294" s="8"/>
    </row>
    <row r="295" spans="1:24" ht="45" x14ac:dyDescent="0.25">
      <c r="A295" s="5" t="s">
        <v>370</v>
      </c>
      <c r="B295" s="5" t="s">
        <v>120</v>
      </c>
      <c r="C295" s="5" t="s">
        <v>130</v>
      </c>
      <c r="D295" s="11">
        <v>55</v>
      </c>
      <c r="E295" s="11">
        <v>1</v>
      </c>
      <c r="F295" s="12">
        <v>1701</v>
      </c>
      <c r="G295" s="5" t="str">
        <f>LEFT(H295,2)</f>
        <v>53</v>
      </c>
      <c r="H295" s="5">
        <v>530239</v>
      </c>
      <c r="I295" s="6" t="str">
        <f>+IFERROR(VLOOKUP(H295,[1]CATALOGO!$B$2:$C$98,2,0),"")</f>
        <v>Membrecias</v>
      </c>
      <c r="J295" s="11">
        <v>2</v>
      </c>
      <c r="K295" s="8">
        <v>57026</v>
      </c>
      <c r="L295" s="8">
        <v>2465.5499999999997</v>
      </c>
      <c r="M295" s="8"/>
      <c r="N295" s="8"/>
      <c r="O295" s="8"/>
      <c r="P295" s="8"/>
      <c r="Q295" s="8"/>
      <c r="R295" s="8">
        <f>46.7+2418.85</f>
        <v>2465.5499999999997</v>
      </c>
      <c r="S295" s="8"/>
      <c r="T295" s="8"/>
      <c r="U295" s="8"/>
      <c r="V295" s="8"/>
      <c r="W295" s="8"/>
      <c r="X295" s="8"/>
    </row>
    <row r="296" spans="1:24" ht="33.75" x14ac:dyDescent="0.25">
      <c r="A296" s="5" t="s">
        <v>371</v>
      </c>
      <c r="B296" s="5" t="s">
        <v>28</v>
      </c>
      <c r="C296" s="5" t="s">
        <v>29</v>
      </c>
      <c r="D296" s="11">
        <v>1</v>
      </c>
      <c r="E296" s="11">
        <v>1</v>
      </c>
      <c r="F296" s="12">
        <v>1701</v>
      </c>
      <c r="G296" s="5" t="s">
        <v>267</v>
      </c>
      <c r="H296" s="5">
        <v>530301</v>
      </c>
      <c r="I296" s="6" t="str">
        <f>+IFERROR(VLOOKUP(H296,[1]CATALOGO!$B$2:$C$98,2,0),"")</f>
        <v>Pasajes al Interior</v>
      </c>
      <c r="J296" s="11">
        <v>2</v>
      </c>
      <c r="K296" s="8">
        <v>124159.42</v>
      </c>
      <c r="L296" s="8">
        <v>0</v>
      </c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</row>
    <row r="297" spans="1:24" ht="33.75" x14ac:dyDescent="0.25">
      <c r="A297" s="5" t="s">
        <v>372</v>
      </c>
      <c r="B297" s="5" t="s">
        <v>28</v>
      </c>
      <c r="C297" s="5" t="s">
        <v>28</v>
      </c>
      <c r="D297" s="11">
        <v>1</v>
      </c>
      <c r="E297" s="11">
        <v>1</v>
      </c>
      <c r="F297" s="12">
        <v>1701</v>
      </c>
      <c r="G297" s="5" t="str">
        <f t="shared" ref="G297:G322" si="5">LEFT(H297,2)</f>
        <v>53</v>
      </c>
      <c r="H297" s="5">
        <v>530304</v>
      </c>
      <c r="I297" s="6" t="str">
        <f>+IFERROR(VLOOKUP(H297,[1]CATALOGO!$B$2:$C$98,2,0),"")</f>
        <v>Viaticos y Subsistencias en el Exterior</v>
      </c>
      <c r="J297" s="11">
        <v>2</v>
      </c>
      <c r="K297" s="8">
        <v>9605.36</v>
      </c>
      <c r="L297" s="8">
        <v>0</v>
      </c>
      <c r="M297" s="8">
        <v>0</v>
      </c>
      <c r="N297" s="8">
        <v>0</v>
      </c>
      <c r="O297" s="8"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</row>
    <row r="298" spans="1:24" x14ac:dyDescent="0.25">
      <c r="A298" s="5" t="s">
        <v>373</v>
      </c>
      <c r="B298" s="5" t="s">
        <v>44</v>
      </c>
      <c r="C298" s="5" t="s">
        <v>45</v>
      </c>
      <c r="D298" s="11">
        <v>1</v>
      </c>
      <c r="E298" s="11">
        <v>1</v>
      </c>
      <c r="F298" s="12">
        <v>1701</v>
      </c>
      <c r="G298" s="5" t="str">
        <f t="shared" si="5"/>
        <v>57</v>
      </c>
      <c r="H298" s="5">
        <v>570201</v>
      </c>
      <c r="I298" s="6" t="str">
        <f>+IFERROR(VLOOKUP(H298,[1]CATALOGO!$B$2:$C$98,2,0),"")</f>
        <v>Seguros</v>
      </c>
      <c r="J298" s="11">
        <v>2</v>
      </c>
      <c r="K298" s="8">
        <v>3000</v>
      </c>
      <c r="L298" s="8">
        <v>42438.159999999996</v>
      </c>
      <c r="M298" s="8"/>
      <c r="N298" s="8"/>
      <c r="O298" s="8"/>
      <c r="P298" s="8">
        <v>218.96</v>
      </c>
      <c r="Q298" s="8"/>
      <c r="R298" s="8"/>
      <c r="S298" s="8">
        <f>804.75+41414.45</f>
        <v>42219.199999999997</v>
      </c>
      <c r="T298" s="8"/>
      <c r="U298" s="8"/>
      <c r="V298" s="8"/>
      <c r="W298" s="8"/>
      <c r="X298" s="8"/>
    </row>
    <row r="299" spans="1:24" ht="22.5" x14ac:dyDescent="0.25">
      <c r="A299" s="5" t="s">
        <v>374</v>
      </c>
      <c r="B299" s="5" t="s">
        <v>375</v>
      </c>
      <c r="C299" s="5" t="s">
        <v>375</v>
      </c>
      <c r="D299" s="11">
        <v>1</v>
      </c>
      <c r="E299" s="11">
        <v>1</v>
      </c>
      <c r="F299" s="12">
        <v>1701</v>
      </c>
      <c r="G299" s="5" t="str">
        <f t="shared" si="5"/>
        <v>53</v>
      </c>
      <c r="H299" s="5">
        <v>530801</v>
      </c>
      <c r="I299" s="6" t="str">
        <f>+IFERROR(VLOOKUP(H299,[1]CATALOGO!$B$2:$C$98,2,0),"")</f>
        <v>Alimentos y Bebidas</v>
      </c>
      <c r="J299" s="11">
        <v>2</v>
      </c>
      <c r="K299" s="8">
        <v>2000</v>
      </c>
      <c r="L299" s="8">
        <v>124.13</v>
      </c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>
        <v>124.13</v>
      </c>
      <c r="X299" s="8"/>
    </row>
    <row r="300" spans="1:24" ht="56.25" x14ac:dyDescent="0.25">
      <c r="A300" s="5" t="s">
        <v>376</v>
      </c>
      <c r="B300" s="5" t="s">
        <v>28</v>
      </c>
      <c r="C300" s="5" t="s">
        <v>152</v>
      </c>
      <c r="D300" s="11">
        <v>1</v>
      </c>
      <c r="E300" s="11">
        <v>1</v>
      </c>
      <c r="F300" s="12">
        <v>1700</v>
      </c>
      <c r="G300" s="5" t="str">
        <f t="shared" si="5"/>
        <v>99</v>
      </c>
      <c r="H300" s="5">
        <v>990101</v>
      </c>
      <c r="I300" s="6" t="s">
        <v>377</v>
      </c>
      <c r="J300" s="11">
        <v>2</v>
      </c>
      <c r="K300" s="8">
        <v>3947.7</v>
      </c>
      <c r="L300" s="8">
        <v>1844.27</v>
      </c>
      <c r="M300" s="8"/>
      <c r="N300" s="8"/>
      <c r="O300" s="8"/>
      <c r="P300" s="8"/>
      <c r="Q300" s="8"/>
      <c r="R300" s="8">
        <v>1155.82</v>
      </c>
      <c r="S300" s="8">
        <v>688.45</v>
      </c>
      <c r="T300" s="8"/>
      <c r="U300" s="8"/>
      <c r="V300" s="8"/>
      <c r="W300" s="8"/>
      <c r="X300" s="8"/>
    </row>
    <row r="301" spans="1:24" ht="33.75" x14ac:dyDescent="0.25">
      <c r="A301" s="5" t="s">
        <v>378</v>
      </c>
      <c r="B301" s="5" t="s">
        <v>28</v>
      </c>
      <c r="C301" s="6" t="s">
        <v>255</v>
      </c>
      <c r="D301" s="11">
        <v>1</v>
      </c>
      <c r="E301" s="11">
        <v>1</v>
      </c>
      <c r="F301" s="12">
        <v>1701</v>
      </c>
      <c r="G301" s="5" t="str">
        <f t="shared" si="5"/>
        <v>53</v>
      </c>
      <c r="H301" s="5">
        <v>530301</v>
      </c>
      <c r="I301" s="6" t="str">
        <f>+IFERROR(VLOOKUP(H301,[1]CATALOGO!$B$2:$C$98,2,0),"")</f>
        <v>Pasajes al Interior</v>
      </c>
      <c r="J301" s="11">
        <v>2</v>
      </c>
      <c r="K301" s="8">
        <v>95000</v>
      </c>
      <c r="L301" s="8">
        <v>0</v>
      </c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</row>
    <row r="302" spans="1:24" ht="33.75" x14ac:dyDescent="0.25">
      <c r="A302" s="5" t="s">
        <v>379</v>
      </c>
      <c r="B302" s="5" t="s">
        <v>28</v>
      </c>
      <c r="C302" s="6" t="s">
        <v>255</v>
      </c>
      <c r="D302" s="6">
        <v>55</v>
      </c>
      <c r="E302" s="11">
        <v>1</v>
      </c>
      <c r="F302" s="12">
        <v>1701</v>
      </c>
      <c r="G302" s="5" t="str">
        <f t="shared" si="5"/>
        <v>53</v>
      </c>
      <c r="H302" s="5">
        <v>530301</v>
      </c>
      <c r="I302" s="6" t="str">
        <f>+IFERROR(VLOOKUP(H302,[1]CATALOGO!$B$2:$C$98,2,0),"")</f>
        <v>Pasajes al Interior</v>
      </c>
      <c r="J302" s="11">
        <v>2</v>
      </c>
      <c r="K302" s="8">
        <v>500</v>
      </c>
      <c r="L302" s="8">
        <v>527</v>
      </c>
      <c r="M302" s="8"/>
      <c r="N302" s="8"/>
      <c r="O302" s="8"/>
      <c r="P302" s="8"/>
      <c r="Q302" s="8"/>
      <c r="R302" s="8"/>
      <c r="S302" s="8">
        <f>76+26.5+16</f>
        <v>118.5</v>
      </c>
      <c r="T302" s="8">
        <f>30+58</f>
        <v>88</v>
      </c>
      <c r="U302" s="8">
        <f>32+32</f>
        <v>64</v>
      </c>
      <c r="V302" s="8">
        <f>76+62</f>
        <v>138</v>
      </c>
      <c r="W302" s="8">
        <f>7.5+32+16+32</f>
        <v>87.5</v>
      </c>
      <c r="X302" s="8">
        <f>56-25</f>
        <v>31</v>
      </c>
    </row>
    <row r="303" spans="1:24" ht="56.25" x14ac:dyDescent="0.25">
      <c r="A303" s="5" t="s">
        <v>380</v>
      </c>
      <c r="B303" s="5" t="s">
        <v>28</v>
      </c>
      <c r="C303" s="5" t="s">
        <v>152</v>
      </c>
      <c r="D303" s="6">
        <v>1</v>
      </c>
      <c r="E303" s="11">
        <v>1</v>
      </c>
      <c r="F303" s="12">
        <v>1700</v>
      </c>
      <c r="G303" s="5" t="str">
        <f t="shared" si="5"/>
        <v>99</v>
      </c>
      <c r="H303" s="5">
        <v>990101</v>
      </c>
      <c r="I303" s="6" t="s">
        <v>377</v>
      </c>
      <c r="J303" s="11">
        <v>2</v>
      </c>
      <c r="K303" s="8">
        <v>2000</v>
      </c>
      <c r="L303" s="8">
        <v>2000</v>
      </c>
      <c r="M303" s="8"/>
      <c r="N303" s="8"/>
      <c r="O303" s="8"/>
      <c r="P303" s="8"/>
      <c r="Q303" s="8"/>
      <c r="R303" s="8"/>
      <c r="S303" s="8">
        <v>2000</v>
      </c>
      <c r="T303" s="8"/>
      <c r="U303" s="8"/>
      <c r="V303" s="8"/>
      <c r="W303" s="8"/>
      <c r="X303" s="8"/>
    </row>
    <row r="304" spans="1:24" ht="56.25" x14ac:dyDescent="0.25">
      <c r="A304" s="5" t="s">
        <v>381</v>
      </c>
      <c r="B304" s="5" t="s">
        <v>44</v>
      </c>
      <c r="C304" s="5" t="s">
        <v>45</v>
      </c>
      <c r="D304" s="6">
        <v>1</v>
      </c>
      <c r="E304" s="11">
        <v>1</v>
      </c>
      <c r="F304" s="12">
        <v>1701</v>
      </c>
      <c r="G304" s="5" t="str">
        <f t="shared" si="5"/>
        <v>53</v>
      </c>
      <c r="H304" s="5">
        <v>530404</v>
      </c>
      <c r="I304" s="6" t="str">
        <f>+IFERROR(VLOOKUP(H304,[1]CATALOGO!$B$2:$C$98,2,0),"")</f>
        <v>Maquinarias y Equipos (Instalacion- Mantenimiento y Reparacion)</v>
      </c>
      <c r="J304" s="11">
        <v>2</v>
      </c>
      <c r="K304" s="8">
        <v>500</v>
      </c>
      <c r="L304" s="8">
        <v>0</v>
      </c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</row>
    <row r="305" spans="1:24" ht="22.5" x14ac:dyDescent="0.25">
      <c r="A305" s="5" t="s">
        <v>382</v>
      </c>
      <c r="B305" s="5" t="s">
        <v>44</v>
      </c>
      <c r="C305" s="5" t="s">
        <v>45</v>
      </c>
      <c r="D305" s="6">
        <v>1</v>
      </c>
      <c r="E305" s="11">
        <v>1</v>
      </c>
      <c r="F305" s="12">
        <v>1701</v>
      </c>
      <c r="G305" s="5" t="str">
        <f t="shared" si="5"/>
        <v>53</v>
      </c>
      <c r="H305" s="5">
        <v>530813</v>
      </c>
      <c r="I305" s="6" t="str">
        <f>+IFERROR(VLOOKUP(H305,[1]CATALOGO!$B$2:$C$98,2,0),"")</f>
        <v>Repuestos y Accesorios</v>
      </c>
      <c r="J305" s="11">
        <v>2</v>
      </c>
      <c r="K305" s="8">
        <v>600</v>
      </c>
      <c r="L305" s="8">
        <v>0</v>
      </c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</row>
    <row r="306" spans="1:24" ht="33.75" x14ac:dyDescent="0.25">
      <c r="A306" s="5" t="s">
        <v>383</v>
      </c>
      <c r="B306" s="5" t="s">
        <v>28</v>
      </c>
      <c r="C306" s="5" t="s">
        <v>29</v>
      </c>
      <c r="D306" s="6">
        <v>1</v>
      </c>
      <c r="E306" s="11">
        <v>1</v>
      </c>
      <c r="F306" s="12">
        <v>1701</v>
      </c>
      <c r="G306" s="5" t="str">
        <f t="shared" si="5"/>
        <v>53</v>
      </c>
      <c r="H306" s="5">
        <v>531403</v>
      </c>
      <c r="I306" s="6" t="str">
        <f>+IFERROR(VLOOKUP(H306,[1]CATALOGO!$B$2:$C$98,2,0),"")</f>
        <v>Mobiliarios</v>
      </c>
      <c r="J306" s="11">
        <v>2</v>
      </c>
      <c r="K306" s="8">
        <v>2000</v>
      </c>
      <c r="L306" s="8">
        <v>392.8</v>
      </c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>
        <v>392.8</v>
      </c>
      <c r="X306" s="8"/>
    </row>
    <row r="307" spans="1:24" x14ac:dyDescent="0.25">
      <c r="A307" s="5" t="s">
        <v>384</v>
      </c>
      <c r="B307" s="5" t="s">
        <v>44</v>
      </c>
      <c r="C307" s="5" t="s">
        <v>45</v>
      </c>
      <c r="D307" s="6">
        <v>1</v>
      </c>
      <c r="E307" s="11">
        <v>1</v>
      </c>
      <c r="F307" s="12">
        <v>1701</v>
      </c>
      <c r="G307" s="5" t="str">
        <f t="shared" si="5"/>
        <v>84</v>
      </c>
      <c r="H307" s="5">
        <v>840103</v>
      </c>
      <c r="I307" s="6" t="str">
        <f>+IFERROR(VLOOKUP(H307,[1]CATALOGO!$B$2:$C$98,2,0),"")</f>
        <v>Mobiliarios</v>
      </c>
      <c r="J307" s="11">
        <v>2</v>
      </c>
      <c r="K307" s="8">
        <v>1670</v>
      </c>
      <c r="L307" s="8">
        <v>9443</v>
      </c>
      <c r="M307" s="8"/>
      <c r="N307" s="8"/>
      <c r="O307" s="8"/>
      <c r="P307" s="8"/>
      <c r="Q307" s="8"/>
      <c r="R307" s="8"/>
      <c r="S307" s="8"/>
      <c r="T307" s="8"/>
      <c r="U307" s="8"/>
      <c r="V307" s="8">
        <f>6084+3359</f>
        <v>9443</v>
      </c>
      <c r="W307" s="8"/>
      <c r="X307" s="8"/>
    </row>
    <row r="308" spans="1:24" ht="33.75" x14ac:dyDescent="0.25">
      <c r="A308" s="5" t="s">
        <v>385</v>
      </c>
      <c r="B308" s="5" t="s">
        <v>28</v>
      </c>
      <c r="C308" s="5" t="s">
        <v>29</v>
      </c>
      <c r="D308" s="6">
        <v>1</v>
      </c>
      <c r="E308" s="11">
        <v>1</v>
      </c>
      <c r="F308" s="12">
        <v>1701</v>
      </c>
      <c r="G308" s="5" t="str">
        <f t="shared" si="5"/>
        <v>53</v>
      </c>
      <c r="H308" s="5">
        <v>531403</v>
      </c>
      <c r="I308" s="6" t="str">
        <f>+IFERROR(VLOOKUP(H308,[1]CATALOGO!$B$2:$C$98,2,0),"")</f>
        <v>Mobiliarios</v>
      </c>
      <c r="J308" s="11">
        <v>2</v>
      </c>
      <c r="K308" s="8">
        <v>330</v>
      </c>
      <c r="L308" s="8">
        <v>323.60000000000002</v>
      </c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>
        <v>323.60000000000002</v>
      </c>
    </row>
    <row r="309" spans="1:24" x14ac:dyDescent="0.25">
      <c r="A309" s="5" t="s">
        <v>386</v>
      </c>
      <c r="B309" s="5" t="s">
        <v>44</v>
      </c>
      <c r="C309" s="5" t="s">
        <v>45</v>
      </c>
      <c r="D309" s="6">
        <v>1</v>
      </c>
      <c r="E309" s="11">
        <v>1</v>
      </c>
      <c r="F309" s="12">
        <v>1701</v>
      </c>
      <c r="G309" s="5" t="str">
        <f t="shared" si="5"/>
        <v>84</v>
      </c>
      <c r="H309" s="5">
        <v>840103</v>
      </c>
      <c r="I309" s="6" t="str">
        <f>+IFERROR(VLOOKUP(H309,[1]CATALOGO!$B$2:$C$98,2,0),"")</f>
        <v>Mobiliarios</v>
      </c>
      <c r="J309" s="11">
        <v>2</v>
      </c>
      <c r="K309" s="8">
        <v>392.8</v>
      </c>
      <c r="L309" s="8">
        <v>5724</v>
      </c>
      <c r="M309" s="8"/>
      <c r="N309" s="8"/>
      <c r="O309" s="8"/>
      <c r="P309" s="8"/>
      <c r="Q309" s="8"/>
      <c r="R309" s="8"/>
      <c r="S309" s="8"/>
      <c r="T309" s="8"/>
      <c r="U309" s="8"/>
      <c r="V309" s="8">
        <f>5725-1</f>
        <v>5724</v>
      </c>
      <c r="W309" s="8"/>
      <c r="X309" s="8"/>
    </row>
    <row r="310" spans="1:24" x14ac:dyDescent="0.25">
      <c r="A310" s="5" t="s">
        <v>387</v>
      </c>
      <c r="B310" s="5" t="s">
        <v>44</v>
      </c>
      <c r="C310" s="5" t="s">
        <v>45</v>
      </c>
      <c r="D310" s="6">
        <v>1</v>
      </c>
      <c r="E310" s="11">
        <v>1</v>
      </c>
      <c r="F310" s="12">
        <v>1701</v>
      </c>
      <c r="G310" s="5" t="str">
        <f t="shared" si="5"/>
        <v>84</v>
      </c>
      <c r="H310" s="5">
        <v>840103</v>
      </c>
      <c r="I310" s="6" t="str">
        <f>+IFERROR(VLOOKUP(H310,[1]CATALOGO!$B$2:$C$98,2,0),"")</f>
        <v>Mobiliarios</v>
      </c>
      <c r="J310" s="11">
        <v>2</v>
      </c>
      <c r="K310" s="8">
        <v>13196.820000000002</v>
      </c>
      <c r="L310" s="8">
        <v>39488</v>
      </c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>
        <v>39488</v>
      </c>
    </row>
    <row r="311" spans="1:24" ht="45" x14ac:dyDescent="0.25">
      <c r="A311" s="5" t="s">
        <v>388</v>
      </c>
      <c r="B311" s="5" t="s">
        <v>28</v>
      </c>
      <c r="C311" s="5" t="s">
        <v>29</v>
      </c>
      <c r="D311" s="7">
        <v>1</v>
      </c>
      <c r="E311" s="11">
        <v>1</v>
      </c>
      <c r="F311" s="12">
        <v>1701</v>
      </c>
      <c r="G311" s="5" t="str">
        <f t="shared" si="5"/>
        <v>53</v>
      </c>
      <c r="H311" s="5">
        <v>530601</v>
      </c>
      <c r="I311" s="6" t="str">
        <f>+IFERROR(VLOOKUP(H311,[1]CATALOGO!$B$2:$C$98,2,0),"")</f>
        <v>Consultoría, Asesoría e Investigación Especializada</v>
      </c>
      <c r="J311" s="11">
        <v>2</v>
      </c>
      <c r="K311" s="8">
        <v>392.8</v>
      </c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</row>
    <row r="312" spans="1:24" ht="45" x14ac:dyDescent="0.25">
      <c r="A312" s="5" t="s">
        <v>389</v>
      </c>
      <c r="B312" s="5" t="s">
        <v>28</v>
      </c>
      <c r="C312" s="5" t="s">
        <v>29</v>
      </c>
      <c r="D312" s="6">
        <v>1</v>
      </c>
      <c r="E312" s="11">
        <v>1</v>
      </c>
      <c r="F312" s="12">
        <v>1701</v>
      </c>
      <c r="G312" s="5" t="str">
        <f t="shared" si="5"/>
        <v>53</v>
      </c>
      <c r="H312" s="5">
        <v>530405</v>
      </c>
      <c r="I312" s="6" t="str">
        <f>+IFERROR(VLOOKUP(H312,[1]CATALOGO!$B$2:$C$98,2,0),"")</f>
        <v>Vehiculos (Servicio para Mantenimiento y Reparacion)</v>
      </c>
      <c r="J312" s="11">
        <v>2</v>
      </c>
      <c r="K312" s="8">
        <v>5836.59</v>
      </c>
      <c r="L312" s="8">
        <v>2799.9999999999995</v>
      </c>
      <c r="M312" s="8"/>
      <c r="N312" s="8"/>
      <c r="O312" s="8"/>
      <c r="P312" s="8"/>
      <c r="Q312" s="8"/>
      <c r="R312" s="8"/>
      <c r="S312" s="8"/>
      <c r="T312" s="8"/>
      <c r="U312" s="8">
        <v>1145</v>
      </c>
      <c r="V312" s="8">
        <v>1342.07</v>
      </c>
      <c r="W312" s="8"/>
      <c r="X312" s="8">
        <v>312.93</v>
      </c>
    </row>
    <row r="313" spans="1:24" ht="56.25" x14ac:dyDescent="0.25">
      <c r="A313" s="5" t="s">
        <v>390</v>
      </c>
      <c r="B313" s="5" t="s">
        <v>28</v>
      </c>
      <c r="C313" s="5" t="s">
        <v>152</v>
      </c>
      <c r="D313" s="6">
        <v>1</v>
      </c>
      <c r="E313" s="11">
        <v>1</v>
      </c>
      <c r="F313" s="12">
        <v>1700</v>
      </c>
      <c r="G313" s="5" t="str">
        <f t="shared" si="5"/>
        <v>71</v>
      </c>
      <c r="H313" s="5">
        <v>710706</v>
      </c>
      <c r="I313" s="6" t="s">
        <v>391</v>
      </c>
      <c r="J313" s="11">
        <v>202</v>
      </c>
      <c r="K313" s="8">
        <v>62337.97</v>
      </c>
      <c r="L313" s="8">
        <v>53100</v>
      </c>
      <c r="M313" s="8"/>
      <c r="N313" s="8"/>
      <c r="O313" s="8"/>
      <c r="P313" s="8"/>
      <c r="Q313" s="8"/>
      <c r="R313" s="8"/>
      <c r="S313" s="8">
        <v>53100</v>
      </c>
      <c r="T313" s="8"/>
      <c r="U313" s="8"/>
      <c r="V313" s="8"/>
      <c r="W313" s="8"/>
      <c r="X313" s="8"/>
    </row>
    <row r="314" spans="1:24" ht="45" x14ac:dyDescent="0.25">
      <c r="A314" s="5" t="s">
        <v>392</v>
      </c>
      <c r="B314" s="5" t="s">
        <v>44</v>
      </c>
      <c r="C314" s="5" t="s">
        <v>45</v>
      </c>
      <c r="D314" s="6">
        <v>1</v>
      </c>
      <c r="E314" s="11">
        <v>1</v>
      </c>
      <c r="F314" s="12">
        <v>1701</v>
      </c>
      <c r="G314" s="5" t="str">
        <f t="shared" si="5"/>
        <v>84</v>
      </c>
      <c r="H314" s="5">
        <v>840107</v>
      </c>
      <c r="I314" s="6" t="str">
        <f>+IFERROR(VLOOKUP(H314,[1]CATALOGO!$B$2:$C$98,2,0),"")</f>
        <v>Equipos, Sistemas y Paquetes Informáticos</v>
      </c>
      <c r="J314" s="11">
        <v>2</v>
      </c>
      <c r="K314" s="8">
        <v>0</v>
      </c>
      <c r="L314" s="8">
        <v>0</v>
      </c>
      <c r="M314" s="8"/>
      <c r="N314" s="8"/>
      <c r="O314" s="16"/>
      <c r="P314" s="8"/>
      <c r="Q314" s="8"/>
      <c r="R314" s="8"/>
      <c r="S314" s="8"/>
      <c r="T314" s="8"/>
      <c r="U314" s="8"/>
      <c r="V314" s="8"/>
      <c r="W314" s="8"/>
      <c r="X314" s="8"/>
    </row>
    <row r="315" spans="1:24" ht="45" x14ac:dyDescent="0.25">
      <c r="A315" s="5" t="s">
        <v>393</v>
      </c>
      <c r="B315" s="5" t="s">
        <v>120</v>
      </c>
      <c r="C315" s="5" t="s">
        <v>130</v>
      </c>
      <c r="D315" s="6">
        <v>55</v>
      </c>
      <c r="E315" s="11">
        <v>1</v>
      </c>
      <c r="F315" s="12">
        <v>1701</v>
      </c>
      <c r="G315" s="5" t="str">
        <f t="shared" si="5"/>
        <v>53</v>
      </c>
      <c r="H315" s="5">
        <v>530239</v>
      </c>
      <c r="I315" s="6" t="str">
        <f>+IFERROR(VLOOKUP(H315,[1]CATALOGO!$B$2:$C$98,2,0),"")</f>
        <v>Membrecias</v>
      </c>
      <c r="J315" s="11">
        <v>2</v>
      </c>
      <c r="K315" s="8">
        <v>2800</v>
      </c>
      <c r="L315" s="8">
        <v>12708.31</v>
      </c>
      <c r="M315" s="8"/>
      <c r="N315" s="8"/>
      <c r="O315" s="16"/>
      <c r="P315" s="8"/>
      <c r="Q315" s="8"/>
      <c r="R315" s="8"/>
      <c r="S315" s="8">
        <v>12708.31</v>
      </c>
      <c r="T315" s="8"/>
      <c r="U315" s="8"/>
      <c r="V315" s="8"/>
      <c r="W315" s="8"/>
      <c r="X315" s="8"/>
    </row>
    <row r="316" spans="1:24" ht="45" x14ac:dyDescent="0.25">
      <c r="A316" s="5" t="s">
        <v>394</v>
      </c>
      <c r="B316" s="13" t="s">
        <v>151</v>
      </c>
      <c r="C316" s="13" t="s">
        <v>152</v>
      </c>
      <c r="D316" s="11">
        <v>1</v>
      </c>
      <c r="E316" s="11">
        <v>1</v>
      </c>
      <c r="F316" s="12">
        <v>1700</v>
      </c>
      <c r="G316" s="5" t="str">
        <f t="shared" si="5"/>
        <v>51</v>
      </c>
      <c r="H316" s="5">
        <v>510702</v>
      </c>
      <c r="I316" s="6" t="str">
        <f>+IFERROR(VLOOKUP(H316,[1]CATALOGO!$B$2:$C$98,2,0),"")</f>
        <v>Supresion de Puesto</v>
      </c>
      <c r="J316" s="11">
        <v>2</v>
      </c>
      <c r="K316" s="8">
        <v>53100</v>
      </c>
      <c r="L316" s="8">
        <v>40710</v>
      </c>
      <c r="M316" s="8"/>
      <c r="N316" s="8"/>
      <c r="O316" s="16"/>
      <c r="P316" s="8"/>
      <c r="Q316" s="8"/>
      <c r="R316" s="8"/>
      <c r="S316" s="8">
        <v>31860</v>
      </c>
      <c r="T316" s="8">
        <v>8850</v>
      </c>
      <c r="U316" s="8"/>
      <c r="V316" s="8"/>
      <c r="W316" s="8"/>
      <c r="X316" s="8"/>
    </row>
    <row r="317" spans="1:24" ht="45" x14ac:dyDescent="0.25">
      <c r="A317" s="5" t="s">
        <v>395</v>
      </c>
      <c r="B317" s="13" t="s">
        <v>151</v>
      </c>
      <c r="C317" s="13" t="s">
        <v>152</v>
      </c>
      <c r="D317" s="11">
        <v>55</v>
      </c>
      <c r="E317" s="11">
        <v>1</v>
      </c>
      <c r="F317" s="12">
        <v>1700</v>
      </c>
      <c r="G317" s="5" t="str">
        <f t="shared" si="5"/>
        <v>51</v>
      </c>
      <c r="H317" s="5">
        <v>510702</v>
      </c>
      <c r="I317" s="6" t="str">
        <f>+IFERROR(VLOOKUP(H317,[1]CATALOGO!$B$2:$C$98,2,0),"")</f>
        <v>Supresion de Puesto</v>
      </c>
      <c r="J317" s="11">
        <v>2</v>
      </c>
      <c r="K317" s="8">
        <v>48639</v>
      </c>
      <c r="L317" s="8">
        <v>269040</v>
      </c>
      <c r="M317" s="8"/>
      <c r="N317" s="8"/>
      <c r="O317" s="16"/>
      <c r="P317" s="8"/>
      <c r="Q317" s="8"/>
      <c r="R317" s="8"/>
      <c r="S317" s="8">
        <v>237180</v>
      </c>
      <c r="T317" s="8">
        <v>31860</v>
      </c>
      <c r="U317" s="8"/>
      <c r="V317" s="8"/>
      <c r="W317" s="8"/>
      <c r="X317" s="8"/>
    </row>
    <row r="318" spans="1:24" ht="45" x14ac:dyDescent="0.25">
      <c r="A318" s="5" t="s">
        <v>396</v>
      </c>
      <c r="B318" s="5" t="s">
        <v>25</v>
      </c>
      <c r="C318" s="5" t="s">
        <v>95</v>
      </c>
      <c r="D318" s="11">
        <v>1</v>
      </c>
      <c r="E318" s="11">
        <v>1</v>
      </c>
      <c r="F318" s="12">
        <v>1701</v>
      </c>
      <c r="G318" s="5" t="str">
        <f t="shared" si="5"/>
        <v>53</v>
      </c>
      <c r="H318" s="5">
        <v>530702</v>
      </c>
      <c r="I318" s="6" t="str">
        <f>+IFERROR(VLOOKUP(H318,[1]CATALOGO!$B$2:$C$98,2,0),"")</f>
        <v>Arrendamiento y Licencias de Uso de Paquetes Informaticos</v>
      </c>
      <c r="J318" s="11">
        <v>2</v>
      </c>
      <c r="K318" s="8">
        <v>14614.56</v>
      </c>
      <c r="L318" s="8">
        <v>5691.8399999999965</v>
      </c>
      <c r="M318" s="8"/>
      <c r="N318" s="8"/>
      <c r="O318" s="16"/>
      <c r="P318" s="8"/>
      <c r="Q318" s="8"/>
      <c r="R318" s="8"/>
      <c r="S318" s="8"/>
      <c r="T318" s="8"/>
      <c r="U318" s="8">
        <v>5691.8399999999965</v>
      </c>
      <c r="V318" s="8"/>
      <c r="W318" s="8"/>
      <c r="X318" s="8"/>
    </row>
    <row r="319" spans="1:24" ht="45" x14ac:dyDescent="0.25">
      <c r="A319" s="5" t="s">
        <v>397</v>
      </c>
      <c r="B319" s="5" t="s">
        <v>25</v>
      </c>
      <c r="C319" s="5" t="s">
        <v>95</v>
      </c>
      <c r="D319" s="11">
        <v>1</v>
      </c>
      <c r="E319" s="11">
        <v>1</v>
      </c>
      <c r="F319" s="12">
        <v>1700</v>
      </c>
      <c r="G319" s="5" t="str">
        <f t="shared" si="5"/>
        <v>53</v>
      </c>
      <c r="H319" s="5">
        <v>530105</v>
      </c>
      <c r="I319" s="6" t="str">
        <f>+IFERROR(VLOOKUP(H319,[1]CATALOGO!$B$2:$C$98,2,0),"")</f>
        <v>Telecomunicaciones</v>
      </c>
      <c r="J319" s="11">
        <v>2</v>
      </c>
      <c r="K319" s="8">
        <v>40710</v>
      </c>
      <c r="L319" s="8">
        <v>0</v>
      </c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</row>
    <row r="320" spans="1:24" ht="168.75" x14ac:dyDescent="0.25">
      <c r="A320" s="5" t="s">
        <v>398</v>
      </c>
      <c r="B320" s="5" t="s">
        <v>25</v>
      </c>
      <c r="C320" s="5" t="s">
        <v>95</v>
      </c>
      <c r="D320" s="11">
        <v>1</v>
      </c>
      <c r="E320" s="11">
        <v>1</v>
      </c>
      <c r="F320" s="12">
        <v>1701</v>
      </c>
      <c r="G320" s="5" t="str">
        <f t="shared" si="5"/>
        <v>53</v>
      </c>
      <c r="H320" s="5">
        <v>530204</v>
      </c>
      <c r="I320" s="6" t="str">
        <f>+IFERROR(VLOOKUP(H320,[1]CATALOGO!$B$2:$C$98,2,0),"")</f>
        <v>Edicion - Impresion - Reproduccion -Publicaciones - Suscripciones - Fotocopiado - Traduccion - Empastado - Enmarcacion - Serigrafia - Fotografia - Carnetizacion - Filmacion e Imagenes Satelitales</v>
      </c>
      <c r="J320" s="11">
        <v>2</v>
      </c>
      <c r="K320" s="8">
        <v>269040</v>
      </c>
      <c r="L320" s="8">
        <v>0</v>
      </c>
      <c r="M320" s="8"/>
      <c r="N320" s="8"/>
      <c r="O320" s="16"/>
      <c r="P320" s="8"/>
      <c r="Q320" s="8"/>
      <c r="R320" s="8"/>
      <c r="S320" s="8"/>
      <c r="T320" s="8"/>
      <c r="U320" s="8"/>
      <c r="V320" s="8"/>
      <c r="W320" s="8"/>
      <c r="X320" s="8"/>
    </row>
    <row r="321" spans="1:24" ht="168.75" x14ac:dyDescent="0.25">
      <c r="A321" s="5" t="s">
        <v>399</v>
      </c>
      <c r="B321" s="5" t="s">
        <v>44</v>
      </c>
      <c r="C321" s="5" t="s">
        <v>45</v>
      </c>
      <c r="D321" s="6">
        <v>1</v>
      </c>
      <c r="E321" s="6">
        <v>1</v>
      </c>
      <c r="F321" s="12">
        <v>1701</v>
      </c>
      <c r="G321" s="5" t="str">
        <f t="shared" si="5"/>
        <v>53</v>
      </c>
      <c r="H321" s="5">
        <v>530204</v>
      </c>
      <c r="I321" s="6" t="str">
        <f>+IFERROR(VLOOKUP(H321,[1]CATALOGO!$B$2:$C$98,2,0),"")</f>
        <v>Edicion - Impresion - Reproduccion -Publicaciones - Suscripciones - Fotocopiado - Traduccion - Empastado - Enmarcacion - Serigrafia - Fotografia - Carnetizacion - Filmacion e Imagenes Satelitales</v>
      </c>
      <c r="J321" s="11">
        <v>2</v>
      </c>
      <c r="K321" s="8">
        <v>5761.12</v>
      </c>
      <c r="L321" s="8">
        <v>0</v>
      </c>
      <c r="M321" s="8"/>
      <c r="N321" s="8"/>
      <c r="O321" s="16"/>
      <c r="P321" s="8"/>
      <c r="Q321" s="8"/>
      <c r="R321" s="8"/>
      <c r="S321" s="8"/>
      <c r="T321" s="8"/>
      <c r="U321" s="8"/>
      <c r="V321" s="8"/>
      <c r="W321" s="8"/>
      <c r="X321" s="8"/>
    </row>
    <row r="322" spans="1:24" ht="45" x14ac:dyDescent="0.25">
      <c r="A322" s="5" t="s">
        <v>400</v>
      </c>
      <c r="B322" s="5" t="s">
        <v>148</v>
      </c>
      <c r="C322" s="5" t="s">
        <v>148</v>
      </c>
      <c r="D322" s="6">
        <v>1</v>
      </c>
      <c r="E322" s="6">
        <v>1</v>
      </c>
      <c r="F322" s="12">
        <v>1701</v>
      </c>
      <c r="G322" s="5" t="str">
        <f t="shared" si="5"/>
        <v>53</v>
      </c>
      <c r="H322" s="5">
        <v>530804</v>
      </c>
      <c r="I322" s="6" t="str">
        <f>+IFERROR(VLOOKUP(H322,[1]CATALOGO!$B$2:$C$98,2,0),"")</f>
        <v>Materiales de Oficina</v>
      </c>
      <c r="J322" s="11">
        <v>2</v>
      </c>
      <c r="K322" s="8">
        <v>1</v>
      </c>
      <c r="L322" s="8">
        <v>1269</v>
      </c>
      <c r="M322" s="8"/>
      <c r="N322" s="8"/>
      <c r="O322" s="16"/>
      <c r="P322" s="8"/>
      <c r="Q322" s="8"/>
      <c r="R322" s="8"/>
      <c r="S322" s="8"/>
      <c r="T322" s="8"/>
      <c r="U322" s="8"/>
      <c r="V322" s="8"/>
      <c r="W322" s="8"/>
      <c r="X322" s="8">
        <v>1269</v>
      </c>
    </row>
    <row r="323" spans="1:24" ht="45" x14ac:dyDescent="0.25">
      <c r="A323" s="5" t="s">
        <v>401</v>
      </c>
      <c r="B323" s="13" t="s">
        <v>151</v>
      </c>
      <c r="C323" s="13" t="s">
        <v>152</v>
      </c>
      <c r="D323" s="11">
        <v>1</v>
      </c>
      <c r="E323" s="11">
        <v>1</v>
      </c>
      <c r="F323" s="12">
        <v>1701</v>
      </c>
      <c r="G323" s="5" t="str">
        <f>LEFT(H323,2)</f>
        <v>53</v>
      </c>
      <c r="H323" s="5">
        <v>530809</v>
      </c>
      <c r="I323" s="6" t="str">
        <f>+IFERROR(VLOOKUP(H323,[1]CATALOGO!$B$2:$C$98,2,0),"")</f>
        <v>Medicamentos</v>
      </c>
      <c r="J323" s="11">
        <v>2</v>
      </c>
      <c r="K323" s="8">
        <v>1</v>
      </c>
      <c r="L323" s="9">
        <v>0</v>
      </c>
      <c r="M323" s="9">
        <v>0</v>
      </c>
      <c r="N323" s="9">
        <v>0</v>
      </c>
      <c r="O323" s="10">
        <v>0</v>
      </c>
      <c r="P323" s="9">
        <v>0</v>
      </c>
      <c r="Q323" s="7"/>
      <c r="R323" s="7"/>
      <c r="S323" s="7"/>
      <c r="T323" s="7"/>
      <c r="U323" s="7"/>
      <c r="V323" s="7"/>
      <c r="W323" s="7"/>
      <c r="X323" s="7"/>
    </row>
    <row r="324" spans="1:24" ht="33.75" x14ac:dyDescent="0.25">
      <c r="A324" s="5" t="s">
        <v>402</v>
      </c>
      <c r="B324" s="5" t="s">
        <v>28</v>
      </c>
      <c r="C324" s="5" t="s">
        <v>29</v>
      </c>
      <c r="D324" s="6">
        <v>1</v>
      </c>
      <c r="E324" s="6">
        <v>1</v>
      </c>
      <c r="F324" s="6">
        <v>1701</v>
      </c>
      <c r="G324" s="5" t="str">
        <f>LEFT(H324,2)</f>
        <v>53</v>
      </c>
      <c r="H324" s="5">
        <v>530813</v>
      </c>
      <c r="I324" s="6" t="str">
        <f>+IFERROR(VLOOKUP(H324,[1]CATALOGO!$B$2:$C$98,2,0),"")</f>
        <v>Repuestos y Accesorios</v>
      </c>
      <c r="J324" s="11">
        <v>2</v>
      </c>
      <c r="K324" s="8">
        <v>3600</v>
      </c>
      <c r="L324" s="8">
        <v>0</v>
      </c>
      <c r="M324" s="8"/>
      <c r="N324" s="8"/>
      <c r="O324" s="16"/>
      <c r="P324" s="8"/>
      <c r="Q324" s="8"/>
      <c r="R324" s="8"/>
      <c r="S324" s="8"/>
      <c r="T324" s="8"/>
      <c r="U324" s="8"/>
      <c r="V324" s="8"/>
      <c r="W324" s="8"/>
      <c r="X324" s="8"/>
    </row>
    <row r="325" spans="1:24" ht="90" x14ac:dyDescent="0.25">
      <c r="A325" s="5" t="s">
        <v>403</v>
      </c>
      <c r="B325" s="5" t="s">
        <v>28</v>
      </c>
      <c r="C325" s="5" t="s">
        <v>29</v>
      </c>
      <c r="D325" s="6">
        <v>1</v>
      </c>
      <c r="E325" s="6">
        <v>1</v>
      </c>
      <c r="F325" s="6">
        <v>1701</v>
      </c>
      <c r="G325" s="5" t="str">
        <f>LEFT(H325,2)</f>
        <v>53</v>
      </c>
      <c r="H325" s="5">
        <v>530402</v>
      </c>
      <c r="I325" s="6" t="str">
        <f>+IFERROR(VLOOKUP(H325,[1]CATALOGO!$B$2:$C$98,2,0),"")</f>
        <v>Edificios- Locales- Residencias y Cableado Estructurado (Instalacion - Mantenimiento y Reparacion)</v>
      </c>
      <c r="J325" s="11">
        <v>2</v>
      </c>
      <c r="K325" s="8">
        <v>3600</v>
      </c>
      <c r="L325" s="8">
        <v>538</v>
      </c>
      <c r="M325" s="8"/>
      <c r="N325" s="8"/>
      <c r="O325" s="16"/>
      <c r="P325" s="8"/>
      <c r="Q325" s="8"/>
      <c r="R325" s="8"/>
      <c r="S325" s="8"/>
      <c r="T325" s="8"/>
      <c r="U325" s="8"/>
      <c r="V325" s="8"/>
      <c r="W325" s="8">
        <v>538</v>
      </c>
      <c r="X325" s="8"/>
    </row>
    <row r="326" spans="1:24" ht="45" x14ac:dyDescent="0.25">
      <c r="A326" s="5" t="s">
        <v>404</v>
      </c>
      <c r="B326" s="5" t="s">
        <v>25</v>
      </c>
      <c r="C326" s="5" t="s">
        <v>95</v>
      </c>
      <c r="D326" s="11">
        <v>1</v>
      </c>
      <c r="E326" s="11">
        <v>1</v>
      </c>
      <c r="F326" s="12">
        <v>1701</v>
      </c>
      <c r="G326" s="5" t="str">
        <f>LEFT(H326,2)</f>
        <v>53</v>
      </c>
      <c r="H326" s="5">
        <v>530703</v>
      </c>
      <c r="I326" s="6" t="str">
        <f>+IFERROR(VLOOKUP(H326,[1]CATALOGO!$B$2:$C$98,2,0),"")</f>
        <v>Arrendamiento de Equipos Informaticos</v>
      </c>
      <c r="J326" s="11">
        <v>2</v>
      </c>
      <c r="K326" s="8">
        <v>0</v>
      </c>
      <c r="L326" s="8">
        <v>0</v>
      </c>
      <c r="M326" s="8"/>
      <c r="N326" s="8"/>
      <c r="O326" s="16"/>
      <c r="P326" s="8"/>
      <c r="Q326" s="8"/>
      <c r="R326" s="8"/>
      <c r="S326" s="8"/>
      <c r="T326" s="8"/>
      <c r="U326" s="8"/>
      <c r="V326" s="8"/>
      <c r="W326" s="8"/>
      <c r="X326" s="8"/>
    </row>
    <row r="327" spans="1:24" ht="45" x14ac:dyDescent="0.25">
      <c r="A327" s="5" t="s">
        <v>405</v>
      </c>
      <c r="B327" s="5" t="s">
        <v>25</v>
      </c>
      <c r="C327" s="5" t="s">
        <v>95</v>
      </c>
      <c r="D327" s="11">
        <v>1</v>
      </c>
      <c r="E327" s="11">
        <v>1</v>
      </c>
      <c r="F327" s="12">
        <v>1700</v>
      </c>
      <c r="G327" s="5" t="str">
        <f>LEFT(H327,2)</f>
        <v>53</v>
      </c>
      <c r="H327" s="5">
        <v>530105</v>
      </c>
      <c r="I327" s="6" t="str">
        <f>+IFERROR(VLOOKUP(H327,[1]CATALOGO!$B$2:$C$98,2,0),"")</f>
        <v>Telecomunicaciones</v>
      </c>
      <c r="J327" s="11">
        <v>2</v>
      </c>
      <c r="K327" s="8">
        <v>500</v>
      </c>
      <c r="L327" s="8">
        <v>0</v>
      </c>
      <c r="M327" s="8"/>
      <c r="N327" s="8"/>
      <c r="O327" s="16"/>
      <c r="P327" s="8"/>
      <c r="Q327" s="8"/>
      <c r="R327" s="8"/>
      <c r="S327" s="8"/>
      <c r="T327" s="8"/>
      <c r="U327" s="8"/>
      <c r="V327" s="8"/>
      <c r="W327" s="8"/>
      <c r="X327" s="8"/>
    </row>
    <row r="328" spans="1:24" ht="56.25" x14ac:dyDescent="0.25">
      <c r="A328" s="5" t="s">
        <v>406</v>
      </c>
      <c r="B328" s="5" t="s">
        <v>28</v>
      </c>
      <c r="C328" s="5" t="s">
        <v>152</v>
      </c>
      <c r="D328" s="6">
        <v>1</v>
      </c>
      <c r="E328" s="6">
        <v>1</v>
      </c>
      <c r="F328" s="6">
        <v>1701</v>
      </c>
      <c r="G328" s="5" t="s">
        <v>267</v>
      </c>
      <c r="H328" s="5">
        <v>530201</v>
      </c>
      <c r="I328" s="6" t="str">
        <f>+IFERROR(VLOOKUP(H328,[1]CATALOGO!$B$2:$C$98,2,0),"")</f>
        <v>Transporte de Personal</v>
      </c>
      <c r="J328" s="11">
        <v>2</v>
      </c>
      <c r="K328" s="8">
        <v>550</v>
      </c>
      <c r="L328" s="8">
        <v>0</v>
      </c>
      <c r="M328" s="8"/>
      <c r="N328" s="8"/>
      <c r="O328" s="16"/>
      <c r="P328" s="8"/>
      <c r="Q328" s="8"/>
      <c r="R328" s="8"/>
      <c r="S328" s="8"/>
      <c r="T328" s="8"/>
      <c r="U328" s="8"/>
      <c r="V328" s="8"/>
      <c r="W328" s="8"/>
      <c r="X328" s="8"/>
    </row>
    <row r="329" spans="1:24" ht="90" x14ac:dyDescent="0.25">
      <c r="A329" s="5" t="s">
        <v>407</v>
      </c>
      <c r="B329" s="5" t="s">
        <v>28</v>
      </c>
      <c r="C329" s="5" t="s">
        <v>29</v>
      </c>
      <c r="D329" s="6">
        <v>1</v>
      </c>
      <c r="E329" s="6">
        <v>1</v>
      </c>
      <c r="F329" s="5">
        <v>1700</v>
      </c>
      <c r="G329" s="5" t="s">
        <v>267</v>
      </c>
      <c r="H329" s="5">
        <v>530246</v>
      </c>
      <c r="I329" s="6" t="str">
        <f>+IFERROR(VLOOKUP(H329,[1]CATALOGO!$B$2:$C$98,2,0),"")</f>
        <v>Servicios de Identificacion- Marcacion- Autentificacion- Rastreo- Monitoreo- Seguimiento y-o Trazabilidad</v>
      </c>
      <c r="J329" s="11">
        <v>2</v>
      </c>
      <c r="K329" s="8">
        <v>178925.45</v>
      </c>
      <c r="L329" s="8">
        <v>0</v>
      </c>
      <c r="M329" s="8"/>
      <c r="N329" s="8"/>
      <c r="O329" s="16"/>
      <c r="P329" s="8"/>
      <c r="Q329" s="8"/>
      <c r="R329" s="8"/>
      <c r="S329" s="8"/>
      <c r="T329" s="8"/>
      <c r="U329" s="8"/>
      <c r="V329" s="8"/>
      <c r="W329" s="8"/>
      <c r="X329" s="8"/>
    </row>
    <row r="330" spans="1:24" ht="33.75" x14ac:dyDescent="0.25">
      <c r="A330" s="5" t="s">
        <v>408</v>
      </c>
      <c r="B330" s="5" t="s">
        <v>28</v>
      </c>
      <c r="C330" s="5" t="s">
        <v>29</v>
      </c>
      <c r="D330" s="6">
        <v>1</v>
      </c>
      <c r="E330" s="6">
        <v>1</v>
      </c>
      <c r="F330" s="6">
        <v>1701</v>
      </c>
      <c r="G330" s="5" t="s">
        <v>267</v>
      </c>
      <c r="H330" s="5">
        <v>530106</v>
      </c>
      <c r="I330" s="6" t="str">
        <f>+IFERROR(VLOOKUP(H330,[1]CATALOGO!$B$2:$C$98,2,0),"")</f>
        <v>Servicio de Correo</v>
      </c>
      <c r="J330" s="11">
        <v>2</v>
      </c>
      <c r="K330" s="8">
        <v>85358.81</v>
      </c>
      <c r="L330" s="8">
        <v>0</v>
      </c>
      <c r="M330" s="8"/>
      <c r="N330" s="8"/>
      <c r="O330" s="16"/>
      <c r="P330" s="8"/>
      <c r="Q330" s="8"/>
      <c r="R330" s="8"/>
      <c r="S330" s="8"/>
      <c r="T330" s="8"/>
      <c r="U330" s="8"/>
      <c r="V330" s="8"/>
      <c r="W330" s="8"/>
      <c r="X330" s="8"/>
    </row>
    <row r="331" spans="1:24" ht="56.25" x14ac:dyDescent="0.25">
      <c r="A331" s="5" t="s">
        <v>409</v>
      </c>
      <c r="B331" s="5" t="s">
        <v>28</v>
      </c>
      <c r="C331" s="5" t="s">
        <v>152</v>
      </c>
      <c r="D331" s="6">
        <v>1</v>
      </c>
      <c r="E331" s="6">
        <v>1</v>
      </c>
      <c r="F331" s="6">
        <v>1701</v>
      </c>
      <c r="G331" s="5" t="s">
        <v>267</v>
      </c>
      <c r="H331" s="5">
        <v>570201</v>
      </c>
      <c r="I331" s="6" t="str">
        <f>+IFERROR(VLOOKUP(H331,[1]CATALOGO!$B$2:$C$98,2,0),"")</f>
        <v>Seguros</v>
      </c>
      <c r="J331" s="11">
        <v>2</v>
      </c>
      <c r="K331" s="8">
        <v>8616</v>
      </c>
      <c r="L331" s="8">
        <v>2025.94</v>
      </c>
      <c r="M331" s="8"/>
      <c r="N331" s="8"/>
      <c r="O331" s="16"/>
      <c r="P331" s="8"/>
      <c r="Q331" s="8"/>
      <c r="R331" s="8"/>
      <c r="S331" s="8"/>
      <c r="T331" s="8"/>
      <c r="U331" s="8"/>
      <c r="V331" s="8"/>
      <c r="W331">
        <v>2025.94</v>
      </c>
      <c r="X331" s="8"/>
    </row>
    <row r="332" spans="1:24" ht="78.75" x14ac:dyDescent="0.25">
      <c r="A332" s="5" t="s">
        <v>410</v>
      </c>
      <c r="B332" s="5" t="s">
        <v>148</v>
      </c>
      <c r="C332" s="5" t="s">
        <v>148</v>
      </c>
      <c r="D332" s="5">
        <v>1</v>
      </c>
      <c r="E332" s="5">
        <v>1</v>
      </c>
      <c r="F332" s="5">
        <v>1701</v>
      </c>
      <c r="G332" s="5" t="str">
        <f t="shared" ref="G332:G339" si="6">LEFT(H332,2)</f>
        <v>53</v>
      </c>
      <c r="H332" s="5">
        <v>530203</v>
      </c>
      <c r="I332" s="6" t="str">
        <f>+IFERROR(VLOOKUP(H332,[1]CATALOGO!$B$2:$C$98,2,0),"")</f>
        <v>Almacenamiento - Embalaje - Desembalaje Envase Desenvase y Recarga de Extintores</v>
      </c>
      <c r="J332" s="6">
        <v>2</v>
      </c>
      <c r="K332" s="8">
        <v>65</v>
      </c>
      <c r="L332" s="8">
        <v>0</v>
      </c>
      <c r="M332" s="8"/>
      <c r="N332" s="8"/>
      <c r="O332" s="16"/>
      <c r="P332" s="8"/>
      <c r="Q332" s="8"/>
      <c r="R332" s="8"/>
      <c r="S332" s="8"/>
      <c r="T332" s="8"/>
      <c r="U332" s="8"/>
      <c r="V332" s="8"/>
      <c r="W332" s="8"/>
      <c r="X332" s="8"/>
    </row>
    <row r="333" spans="1:24" ht="56.25" x14ac:dyDescent="0.25">
      <c r="A333" s="5" t="s">
        <v>411</v>
      </c>
      <c r="B333" s="5" t="s">
        <v>28</v>
      </c>
      <c r="C333" s="5" t="s">
        <v>152</v>
      </c>
      <c r="D333" s="5">
        <v>1</v>
      </c>
      <c r="E333" s="5">
        <v>1</v>
      </c>
      <c r="F333" s="5">
        <v>1701</v>
      </c>
      <c r="G333" s="5" t="str">
        <f t="shared" si="6"/>
        <v>53</v>
      </c>
      <c r="H333" s="5">
        <v>530809</v>
      </c>
      <c r="I333" s="6" t="str">
        <f>+IFERROR(VLOOKUP(H333,[1]CATALOGO!$B$2:$C$98,2,0),"")</f>
        <v>Medicamentos</v>
      </c>
      <c r="J333" s="6">
        <v>2</v>
      </c>
      <c r="K333" s="8">
        <v>1</v>
      </c>
      <c r="L333" s="8">
        <v>0</v>
      </c>
      <c r="M333" s="8"/>
      <c r="N333" s="8"/>
      <c r="O333" s="16"/>
      <c r="P333" s="8"/>
      <c r="Q333" s="8"/>
      <c r="R333" s="8"/>
      <c r="S333" s="8"/>
      <c r="T333" s="8"/>
      <c r="U333" s="8"/>
      <c r="V333" s="8"/>
      <c r="W333" s="8"/>
      <c r="X333" s="8"/>
    </row>
    <row r="334" spans="1:24" ht="56.25" x14ac:dyDescent="0.25">
      <c r="A334" s="5" t="s">
        <v>412</v>
      </c>
      <c r="B334" s="5" t="s">
        <v>28</v>
      </c>
      <c r="C334" s="5" t="s">
        <v>152</v>
      </c>
      <c r="D334" s="5">
        <v>1</v>
      </c>
      <c r="E334" s="5">
        <v>1</v>
      </c>
      <c r="F334" s="5">
        <v>1701</v>
      </c>
      <c r="G334" s="5" t="str">
        <f t="shared" si="6"/>
        <v>53</v>
      </c>
      <c r="H334" s="5">
        <v>530826</v>
      </c>
      <c r="I334" s="6" t="str">
        <f>+IFERROR(VLOOKUP(H334,[1]CATALOGO!$B$2:$C$98,2,0),"")</f>
        <v>Dispositivos Medicos de Uso General</v>
      </c>
      <c r="J334" s="6">
        <v>2</v>
      </c>
      <c r="K334" s="8">
        <v>5000</v>
      </c>
      <c r="L334" s="8">
        <v>0</v>
      </c>
      <c r="M334" s="8"/>
      <c r="N334" s="8"/>
      <c r="O334" s="16"/>
      <c r="P334" s="8"/>
      <c r="Q334" s="8"/>
      <c r="R334" s="8"/>
      <c r="S334" s="8"/>
      <c r="T334" s="8"/>
      <c r="U334" s="8"/>
      <c r="V334" s="8"/>
      <c r="W334" s="8"/>
      <c r="X334" s="8"/>
    </row>
    <row r="335" spans="1:24" ht="56.25" x14ac:dyDescent="0.25">
      <c r="A335" s="5" t="s">
        <v>413</v>
      </c>
      <c r="B335" s="5" t="s">
        <v>28</v>
      </c>
      <c r="C335" s="5" t="s">
        <v>152</v>
      </c>
      <c r="D335" s="11">
        <v>1</v>
      </c>
      <c r="E335" s="11">
        <v>1</v>
      </c>
      <c r="F335" s="6">
        <v>1701</v>
      </c>
      <c r="G335" s="5" t="str">
        <f t="shared" si="6"/>
        <v>53</v>
      </c>
      <c r="H335" s="5">
        <v>530201</v>
      </c>
      <c r="I335" s="6" t="str">
        <f>+IFERROR(VLOOKUP(H335,[1]CATALOGO!$B$2:$C$98,2,0),"")</f>
        <v>Transporte de Personal</v>
      </c>
      <c r="J335" s="7">
        <v>2</v>
      </c>
      <c r="K335" s="8">
        <v>1</v>
      </c>
      <c r="L335" s="8">
        <v>0</v>
      </c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</row>
    <row r="336" spans="1:24" ht="45" x14ac:dyDescent="0.25">
      <c r="A336" s="5" t="s">
        <v>414</v>
      </c>
      <c r="B336" s="5" t="s">
        <v>25</v>
      </c>
      <c r="C336" s="5" t="s">
        <v>95</v>
      </c>
      <c r="D336" s="11">
        <v>1</v>
      </c>
      <c r="E336" s="11">
        <v>1</v>
      </c>
      <c r="F336" s="6">
        <v>1701</v>
      </c>
      <c r="G336" s="5" t="str">
        <f t="shared" si="6"/>
        <v>53</v>
      </c>
      <c r="H336" s="5">
        <v>530804</v>
      </c>
      <c r="I336" s="6" t="str">
        <f>+IFERROR(VLOOKUP(H336,[1]CATALOGO!$B$2:$C$98,2,0),"")</f>
        <v>Materiales de Oficina</v>
      </c>
      <c r="J336" s="7">
        <v>2</v>
      </c>
      <c r="K336" s="8">
        <v>289.23</v>
      </c>
      <c r="L336" s="8">
        <v>2295</v>
      </c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>
        <v>2295</v>
      </c>
      <c r="X336" s="7"/>
    </row>
    <row r="337" spans="1:24" ht="45" x14ac:dyDescent="0.25">
      <c r="A337" s="5" t="s">
        <v>415</v>
      </c>
      <c r="B337" s="5" t="s">
        <v>25</v>
      </c>
      <c r="C337" s="5" t="s">
        <v>95</v>
      </c>
      <c r="D337" s="11">
        <v>1</v>
      </c>
      <c r="E337" s="11">
        <v>1</v>
      </c>
      <c r="F337" s="6">
        <v>1701</v>
      </c>
      <c r="G337" s="5" t="str">
        <f t="shared" si="6"/>
        <v>53</v>
      </c>
      <c r="H337" s="5">
        <v>531407</v>
      </c>
      <c r="I337" s="6" t="str">
        <f>+IFERROR(VLOOKUP(H337,[1]CATALOGO!$B$2:$C$98,2,0),"")</f>
        <v>Equipos, Sistemas y Paquetes Informáticos</v>
      </c>
      <c r="J337" s="7">
        <v>2</v>
      </c>
      <c r="K337" s="8">
        <v>1571.72</v>
      </c>
      <c r="L337" s="8">
        <v>1026</v>
      </c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>
        <v>1026</v>
      </c>
      <c r="X337" s="7"/>
    </row>
    <row r="338" spans="1:24" ht="45" x14ac:dyDescent="0.25">
      <c r="A338" s="5" t="s">
        <v>416</v>
      </c>
      <c r="B338" s="13" t="s">
        <v>207</v>
      </c>
      <c r="C338" s="18" t="s">
        <v>237</v>
      </c>
      <c r="D338" s="19">
        <v>55</v>
      </c>
      <c r="E338" s="19">
        <v>1</v>
      </c>
      <c r="F338" s="20">
        <v>1701</v>
      </c>
      <c r="G338" s="18" t="str">
        <f t="shared" si="6"/>
        <v>53</v>
      </c>
      <c r="H338" s="18">
        <v>530606</v>
      </c>
      <c r="I338" s="20" t="str">
        <f>+IFERROR(VLOOKUP(H338,[1]CATALOGO!$B$2:$C$98,2,0),"")</f>
        <v>Honorarios por contratos civiles de servicios</v>
      </c>
      <c r="J338" s="19">
        <v>2</v>
      </c>
      <c r="K338" s="21">
        <v>10584</v>
      </c>
      <c r="L338" s="21">
        <v>726.31</v>
      </c>
      <c r="M338" s="19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>
        <v>726.31</v>
      </c>
    </row>
    <row r="339" spans="1:24" ht="56.25" x14ac:dyDescent="0.25">
      <c r="A339" s="5" t="s">
        <v>417</v>
      </c>
      <c r="B339" s="13" t="s">
        <v>207</v>
      </c>
      <c r="C339" s="5" t="s">
        <v>208</v>
      </c>
      <c r="D339" s="7">
        <v>55</v>
      </c>
      <c r="E339" s="7">
        <v>1</v>
      </c>
      <c r="F339" s="6">
        <v>1701</v>
      </c>
      <c r="G339" s="5" t="str">
        <f t="shared" si="6"/>
        <v>53</v>
      </c>
      <c r="H339" s="5">
        <v>530606</v>
      </c>
      <c r="I339" s="6" t="str">
        <f>+IFERROR(VLOOKUP(H339,[1]CATALOGO!$B$2:$C$98,2,0),"")</f>
        <v>Honorarios por contratos civiles de servicios</v>
      </c>
      <c r="J339" s="7">
        <v>2</v>
      </c>
      <c r="K339" s="8">
        <v>2295</v>
      </c>
      <c r="L339" s="8">
        <v>670.4</v>
      </c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>
        <v>670.4</v>
      </c>
    </row>
    <row r="340" spans="1:24" ht="56.25" x14ac:dyDescent="0.25">
      <c r="A340" s="5" t="s">
        <v>418</v>
      </c>
      <c r="B340" s="5" t="s">
        <v>92</v>
      </c>
      <c r="C340" s="5" t="s">
        <v>93</v>
      </c>
      <c r="D340" s="7">
        <v>1</v>
      </c>
      <c r="E340" s="7">
        <v>1</v>
      </c>
      <c r="F340" s="6">
        <v>1701</v>
      </c>
      <c r="G340" s="5" t="s">
        <v>267</v>
      </c>
      <c r="H340" s="5">
        <v>530702</v>
      </c>
      <c r="I340" s="6" t="s">
        <v>419</v>
      </c>
      <c r="J340" s="7">
        <v>2</v>
      </c>
      <c r="K340" s="8">
        <v>1026</v>
      </c>
      <c r="L340" s="8">
        <v>300</v>
      </c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>
        <v>300</v>
      </c>
    </row>
    <row r="341" spans="1:24" ht="45" x14ac:dyDescent="0.25">
      <c r="A341" s="5" t="s">
        <v>420</v>
      </c>
      <c r="B341" s="5" t="s">
        <v>114</v>
      </c>
      <c r="C341" s="5" t="s">
        <v>115</v>
      </c>
      <c r="D341" s="7">
        <v>1</v>
      </c>
      <c r="E341" s="7">
        <v>1</v>
      </c>
      <c r="F341" s="6">
        <v>1701</v>
      </c>
      <c r="G341" s="5" t="s">
        <v>267</v>
      </c>
      <c r="H341" s="5">
        <v>530702</v>
      </c>
      <c r="I341" s="6" t="s">
        <v>419</v>
      </c>
      <c r="J341" s="7">
        <v>2</v>
      </c>
      <c r="K341" s="8">
        <v>3854.8</v>
      </c>
      <c r="L341" s="8">
        <v>6150</v>
      </c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>
        <v>6150</v>
      </c>
    </row>
    <row r="342" spans="1:24" ht="56.25" x14ac:dyDescent="0.25">
      <c r="A342" s="5" t="s">
        <v>421</v>
      </c>
      <c r="B342" s="5" t="s">
        <v>28</v>
      </c>
      <c r="C342" s="5" t="s">
        <v>152</v>
      </c>
      <c r="D342" s="5">
        <v>55</v>
      </c>
      <c r="E342" s="5">
        <v>1</v>
      </c>
      <c r="F342" s="5">
        <v>1700</v>
      </c>
      <c r="G342" s="5" t="str">
        <f>LEFT(H342,2)</f>
        <v>99</v>
      </c>
      <c r="H342" s="5">
        <v>990101</v>
      </c>
      <c r="I342" s="6" t="s">
        <v>377</v>
      </c>
      <c r="J342" s="6">
        <v>2</v>
      </c>
      <c r="K342" s="8">
        <v>3854.8</v>
      </c>
      <c r="L342" s="8">
        <v>123227.38</v>
      </c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8">
        <v>123227.38</v>
      </c>
      <c r="X342" s="7"/>
    </row>
    <row r="343" spans="1:24" ht="56.25" x14ac:dyDescent="0.25">
      <c r="A343" s="5" t="s">
        <v>422</v>
      </c>
      <c r="B343" s="5" t="s">
        <v>28</v>
      </c>
      <c r="C343" s="5" t="s">
        <v>152</v>
      </c>
      <c r="D343" s="5">
        <v>55</v>
      </c>
      <c r="E343" s="5">
        <v>1</v>
      </c>
      <c r="F343" s="5">
        <v>1700</v>
      </c>
      <c r="G343" s="5" t="str">
        <f>LEFT(H343,2)</f>
        <v>99</v>
      </c>
      <c r="H343" s="5">
        <v>990101</v>
      </c>
      <c r="I343" s="6" t="s">
        <v>377</v>
      </c>
      <c r="J343" s="20">
        <v>2</v>
      </c>
      <c r="K343" s="8">
        <v>700</v>
      </c>
      <c r="L343" s="8">
        <v>0</v>
      </c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8"/>
      <c r="X343" s="19"/>
    </row>
    <row r="344" spans="1:24" ht="56.25" x14ac:dyDescent="0.25">
      <c r="A344" s="5" t="s">
        <v>423</v>
      </c>
      <c r="B344" s="5" t="s">
        <v>28</v>
      </c>
      <c r="C344" s="5" t="s">
        <v>152</v>
      </c>
      <c r="D344" s="17">
        <v>1</v>
      </c>
      <c r="E344" s="18">
        <v>1</v>
      </c>
      <c r="F344" s="5">
        <v>1700</v>
      </c>
      <c r="G344" s="18" t="str">
        <f>LEFT(H344,2)</f>
        <v>99</v>
      </c>
      <c r="H344" s="18">
        <v>990101</v>
      </c>
      <c r="I344" s="20" t="s">
        <v>377</v>
      </c>
      <c r="J344" s="20">
        <v>2</v>
      </c>
      <c r="K344" s="21">
        <v>8781.6299999999992</v>
      </c>
      <c r="L344" s="21">
        <v>129369.54</v>
      </c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8">
        <v>129369.54</v>
      </c>
      <c r="X344" s="19"/>
    </row>
    <row r="345" spans="1:24" ht="90" x14ac:dyDescent="0.25">
      <c r="A345" s="5" t="s">
        <v>424</v>
      </c>
      <c r="B345" s="5" t="s">
        <v>92</v>
      </c>
      <c r="C345" s="5" t="s">
        <v>93</v>
      </c>
      <c r="D345" s="7">
        <v>1</v>
      </c>
      <c r="E345" s="5">
        <v>1</v>
      </c>
      <c r="F345" s="5">
        <v>1701</v>
      </c>
      <c r="G345" s="5" t="str">
        <f>LEFT(H345,2)</f>
        <v>57</v>
      </c>
      <c r="H345" s="5">
        <v>570206</v>
      </c>
      <c r="I345" s="20" t="str">
        <f>+IFERROR(VLOOKUP(H345,[1]CATALOGO!$B$2:$C$98,2,0),"")</f>
        <v>Costas Judiciales Tramites Notariales Legalizacion de Documentos y Arreglos Extrajudiciales</v>
      </c>
      <c r="J345" s="6">
        <v>2</v>
      </c>
      <c r="K345" s="8">
        <v>123750.16</v>
      </c>
      <c r="L345" s="8">
        <v>470</v>
      </c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>
        <v>470</v>
      </c>
      <c r="X345" s="7"/>
    </row>
    <row r="346" spans="1:24" ht="33.75" x14ac:dyDescent="0.25">
      <c r="A346" s="5" t="s">
        <v>425</v>
      </c>
      <c r="B346" s="5" t="s">
        <v>28</v>
      </c>
      <c r="C346" s="5" t="s">
        <v>29</v>
      </c>
      <c r="D346" s="7">
        <v>1</v>
      </c>
      <c r="E346" s="5">
        <v>1</v>
      </c>
      <c r="F346" s="5">
        <v>1701</v>
      </c>
      <c r="G346" s="5" t="s">
        <v>267</v>
      </c>
      <c r="H346" s="5">
        <v>530813</v>
      </c>
      <c r="I346" s="20" t="str">
        <f>+IFERROR(VLOOKUP(H346,[1]CATALOGO!$B$2:$C$98,2,0),"")</f>
        <v>Repuestos y Accesorios</v>
      </c>
      <c r="J346" s="6">
        <v>2</v>
      </c>
      <c r="K346" s="8">
        <v>372.54</v>
      </c>
      <c r="L346" s="8">
        <v>125</v>
      </c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>
        <v>125</v>
      </c>
    </row>
    <row r="347" spans="1:24" ht="90" x14ac:dyDescent="0.25">
      <c r="A347" s="5" t="s">
        <v>426</v>
      </c>
      <c r="B347" s="5" t="s">
        <v>28</v>
      </c>
      <c r="C347" s="5" t="s">
        <v>29</v>
      </c>
      <c r="D347" s="7">
        <v>1</v>
      </c>
      <c r="E347" s="5">
        <v>1</v>
      </c>
      <c r="F347" s="5">
        <v>1701</v>
      </c>
      <c r="G347" s="5" t="s">
        <v>267</v>
      </c>
      <c r="H347" s="5">
        <v>530402</v>
      </c>
      <c r="I347" s="20" t="str">
        <f>+IFERROR(VLOOKUP(H347,[1]CATALOGO!$B$2:$C$98,2,0),"")</f>
        <v>Edificios- Locales- Residencias y Cableado Estructurado (Instalacion - Mantenimiento y Reparacion)</v>
      </c>
      <c r="J347" s="6">
        <v>2</v>
      </c>
      <c r="K347" s="8">
        <v>129459.9</v>
      </c>
      <c r="L347" s="8">
        <v>9860</v>
      </c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>
        <v>9860</v>
      </c>
    </row>
    <row r="348" spans="1:24" ht="33.75" x14ac:dyDescent="0.25">
      <c r="A348" s="5" t="s">
        <v>427</v>
      </c>
      <c r="B348" s="5" t="s">
        <v>28</v>
      </c>
      <c r="C348" s="5" t="s">
        <v>28</v>
      </c>
      <c r="D348" s="11">
        <v>1</v>
      </c>
      <c r="E348" s="11">
        <v>1</v>
      </c>
      <c r="F348" s="12">
        <v>1701</v>
      </c>
      <c r="G348" s="5" t="str">
        <f>LEFT(H348,2)</f>
        <v>53</v>
      </c>
      <c r="H348" s="5">
        <v>530612</v>
      </c>
      <c r="I348" s="6" t="str">
        <f>+IFERROR(VLOOKUP(H348,[1]CATALOGO!$B$2:$C$98,2,0),"")</f>
        <v>Capacitación a Servidores Públicos</v>
      </c>
      <c r="J348" s="11">
        <v>2</v>
      </c>
      <c r="K348" s="8">
        <v>540.5</v>
      </c>
      <c r="L348" s="9">
        <v>0</v>
      </c>
      <c r="M348" s="9">
        <v>0</v>
      </c>
      <c r="N348" s="9">
        <v>0</v>
      </c>
      <c r="O348" s="9">
        <v>0</v>
      </c>
      <c r="P348" s="9">
        <v>0</v>
      </c>
      <c r="Q348" s="9">
        <v>0</v>
      </c>
      <c r="R348" s="9">
        <v>0</v>
      </c>
      <c r="S348" s="9">
        <v>0</v>
      </c>
      <c r="T348" s="9">
        <v>0</v>
      </c>
      <c r="U348" s="9">
        <v>0</v>
      </c>
      <c r="V348" s="9">
        <v>0</v>
      </c>
      <c r="W348" s="9">
        <v>0</v>
      </c>
      <c r="X348" s="9">
        <v>0</v>
      </c>
    </row>
    <row r="349" spans="1:24" ht="33.75" x14ac:dyDescent="0.25">
      <c r="A349" s="5" t="s">
        <v>428</v>
      </c>
      <c r="B349" s="5" t="s">
        <v>28</v>
      </c>
      <c r="C349" s="5" t="s">
        <v>29</v>
      </c>
      <c r="D349" s="11">
        <v>1</v>
      </c>
      <c r="E349" s="11">
        <v>1</v>
      </c>
      <c r="F349" s="12">
        <v>1701</v>
      </c>
      <c r="G349" s="5" t="str">
        <f t="shared" ref="G349:G353" si="7">LEFT(H349,2)</f>
        <v>53</v>
      </c>
      <c r="H349" s="5">
        <v>530803</v>
      </c>
      <c r="I349" s="6" t="str">
        <f>+IFERROR(VLOOKUP(H349,[1]CATALOGO!$B$2:$C$98,2,0),"")</f>
        <v>Lubricantes</v>
      </c>
      <c r="J349" s="11">
        <v>2</v>
      </c>
      <c r="K349" s="8">
        <v>125</v>
      </c>
      <c r="L349" s="8">
        <v>435</v>
      </c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>
        <v>435</v>
      </c>
    </row>
    <row r="350" spans="1:24" ht="33.75" x14ac:dyDescent="0.25">
      <c r="A350" s="5" t="s">
        <v>429</v>
      </c>
      <c r="B350" s="5" t="s">
        <v>28</v>
      </c>
      <c r="C350" s="5" t="s">
        <v>29</v>
      </c>
      <c r="D350" s="11">
        <v>1</v>
      </c>
      <c r="E350" s="11">
        <v>1</v>
      </c>
      <c r="F350" s="12">
        <v>1701</v>
      </c>
      <c r="G350" s="5" t="str">
        <f t="shared" si="7"/>
        <v>53</v>
      </c>
      <c r="H350" s="5">
        <v>530813</v>
      </c>
      <c r="I350" s="6" t="str">
        <f>+IFERROR(VLOOKUP(H350,[1]CATALOGO!$B$2:$C$98,2,0),"")</f>
        <v>Repuestos y Accesorios</v>
      </c>
      <c r="J350" s="11">
        <v>2</v>
      </c>
      <c r="K350" s="8">
        <v>9860</v>
      </c>
      <c r="L350" s="8">
        <v>1150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>
        <v>1150</v>
      </c>
      <c r="X350" s="9"/>
    </row>
    <row r="351" spans="1:24" ht="45" x14ac:dyDescent="0.25">
      <c r="A351" s="22" t="s">
        <v>430</v>
      </c>
      <c r="B351" s="13" t="s">
        <v>207</v>
      </c>
      <c r="C351" s="23" t="s">
        <v>243</v>
      </c>
      <c r="D351" s="24">
        <v>55</v>
      </c>
      <c r="E351" s="24">
        <v>1</v>
      </c>
      <c r="F351" s="24">
        <v>1701</v>
      </c>
      <c r="G351" s="24" t="str">
        <f t="shared" si="7"/>
        <v>53</v>
      </c>
      <c r="H351" s="24">
        <v>530606</v>
      </c>
      <c r="I351" s="25" t="str">
        <f>+IFERROR(VLOOKUP(H351,[2]CATALOGO!$B$2:$C$98,2,0),"")</f>
        <v>Honorarios por contratos civiles de servicios</v>
      </c>
      <c r="J351" s="26">
        <v>2</v>
      </c>
      <c r="K351" s="27">
        <v>750</v>
      </c>
      <c r="L351" s="27">
        <v>0</v>
      </c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</row>
    <row r="352" spans="1:24" ht="45" x14ac:dyDescent="0.25">
      <c r="A352" s="22" t="s">
        <v>431</v>
      </c>
      <c r="B352" s="13" t="s">
        <v>207</v>
      </c>
      <c r="C352" s="23" t="s">
        <v>432</v>
      </c>
      <c r="D352" s="24">
        <v>55</v>
      </c>
      <c r="E352" s="24">
        <v>1</v>
      </c>
      <c r="F352" s="24">
        <v>1701</v>
      </c>
      <c r="G352" s="24" t="str">
        <f t="shared" si="7"/>
        <v>53</v>
      </c>
      <c r="H352" s="24">
        <v>530606</v>
      </c>
      <c r="I352" s="25" t="str">
        <f>+IFERROR(VLOOKUP(H352,[2]CATALOGO!$B$2:$C$98,2,0),"")</f>
        <v>Honorarios por contratos civiles de servicios</v>
      </c>
      <c r="J352" s="26">
        <v>2</v>
      </c>
      <c r="K352" s="27">
        <v>1500</v>
      </c>
      <c r="L352" s="27">
        <v>0</v>
      </c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</row>
    <row r="353" spans="1:24" ht="45" x14ac:dyDescent="0.25">
      <c r="A353" s="22" t="s">
        <v>433</v>
      </c>
      <c r="B353" s="13" t="s">
        <v>207</v>
      </c>
      <c r="C353" s="23" t="s">
        <v>434</v>
      </c>
      <c r="D353" s="24">
        <v>55</v>
      </c>
      <c r="E353" s="24">
        <v>1</v>
      </c>
      <c r="F353" s="24">
        <v>1701</v>
      </c>
      <c r="G353" s="24" t="str">
        <f t="shared" si="7"/>
        <v>53</v>
      </c>
      <c r="H353" s="24">
        <v>530606</v>
      </c>
      <c r="I353" s="25" t="str">
        <f>+IFERROR(VLOOKUP(H353,[2]CATALOGO!$B$2:$C$98,2,0),"")</f>
        <v>Honorarios por contratos civiles de servicios</v>
      </c>
      <c r="J353" s="26">
        <v>2</v>
      </c>
      <c r="K353" s="27">
        <v>2000</v>
      </c>
      <c r="L353" s="27">
        <v>0</v>
      </c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</row>
    <row r="354" spans="1:24" x14ac:dyDescent="0.25">
      <c r="A354" s="29" t="s">
        <v>435</v>
      </c>
      <c r="B354" s="30"/>
      <c r="C354" s="30"/>
      <c r="D354" s="30"/>
      <c r="E354" s="30"/>
      <c r="F354" s="30"/>
      <c r="G354" s="30"/>
      <c r="H354" s="30"/>
      <c r="I354" s="30"/>
      <c r="J354" s="30"/>
      <c r="K354" s="28">
        <f>SUM(K3:K352)</f>
        <v>9656977.0500000007</v>
      </c>
      <c r="L354" s="28">
        <f t="shared" ref="L354:X354" si="8">SUM(L3:L340)</f>
        <v>6119434.2299999986</v>
      </c>
      <c r="M354" s="28">
        <f t="shared" si="8"/>
        <v>285479.93000000005</v>
      </c>
      <c r="N354" s="28">
        <f t="shared" si="8"/>
        <v>359071.22000000003</v>
      </c>
      <c r="O354" s="28">
        <f t="shared" si="8"/>
        <v>384926.23000000004</v>
      </c>
      <c r="P354" s="28">
        <f t="shared" si="8"/>
        <v>292987.04000000004</v>
      </c>
      <c r="Q354" s="28">
        <f t="shared" si="8"/>
        <v>696377.47</v>
      </c>
      <c r="R354" s="28">
        <f t="shared" si="8"/>
        <v>548949.20999999985</v>
      </c>
      <c r="S354" s="28">
        <f t="shared" si="8"/>
        <v>829339.24</v>
      </c>
      <c r="T354" s="28">
        <f t="shared" si="8"/>
        <v>554742.66000000015</v>
      </c>
      <c r="U354" s="28">
        <f t="shared" si="8"/>
        <v>457024</v>
      </c>
      <c r="V354" s="28">
        <f t="shared" si="8"/>
        <v>444219.10999999993</v>
      </c>
      <c r="W354" s="28">
        <f t="shared" si="8"/>
        <v>738669.30000000016</v>
      </c>
      <c r="X354" s="28">
        <f t="shared" si="8"/>
        <v>525648.82000000007</v>
      </c>
    </row>
  </sheetData>
  <mergeCells count="1">
    <mergeCell ref="A354:J35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e8eda06-4582-498e-9bba-7a695590f0f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4D4D71C3E90F418F88D61B8BFA1AA6" ma:contentTypeVersion="10" ma:contentTypeDescription="Create a new document." ma:contentTypeScope="" ma:versionID="fdc126816d37da4450bfa967a7f2d848">
  <xsd:schema xmlns:xsd="http://www.w3.org/2001/XMLSchema" xmlns:xs="http://www.w3.org/2001/XMLSchema" xmlns:p="http://schemas.microsoft.com/office/2006/metadata/properties" xmlns:ns3="de8eda06-4582-498e-9bba-7a695590f0f6" targetNamespace="http://schemas.microsoft.com/office/2006/metadata/properties" ma:root="true" ma:fieldsID="74e2f6a1ed07a9012b18fb76bf1f29a5" ns3:_="">
    <xsd:import namespace="de8eda06-4582-498e-9bba-7a695590f0f6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eda06-4582-498e-9bba-7a695590f0f6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E3A6C3-7DD5-4234-A445-435261A2DEB8}">
  <ds:schemaRefs>
    <ds:schemaRef ds:uri="de8eda06-4582-498e-9bba-7a695590f0f6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DE999E-F8FB-4E9A-B82C-DDCC99ABF7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C28502-0F9A-4C61-9E69-919D476EC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8eda06-4582-498e-9bba-7a695590f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ARCONEL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Sofía Jacqueline Bautista Correa</dc:creator>
  <cp:lastModifiedBy>Gabriela Patricia Moreno Villacis</cp:lastModifiedBy>
  <dcterms:created xsi:type="dcterms:W3CDTF">2026-03-31T20:44:07Z</dcterms:created>
  <dcterms:modified xsi:type="dcterms:W3CDTF">2026-03-31T20:48:03Z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0x010100B44D4D71C3E90F418F88D61B8BFA1AA6</vt:lpwstr>
  </property>
</Properties>
</file>